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codeName="ThisWorkbook"/>
  <mc:AlternateContent xmlns:mc="http://schemas.openxmlformats.org/markup-compatibility/2006">
    <mc:Choice Requires="x15">
      <x15ac:absPath xmlns:x15ac="http://schemas.microsoft.com/office/spreadsheetml/2010/11/ac" url="C:\小規模事業者持続化補助金\20240109\最新\"/>
    </mc:Choice>
  </mc:AlternateContent>
  <xr:revisionPtr revIDLastSave="0" documentId="13_ncr:1_{DA0675E8-3C0F-437F-9BC9-189464C1693E}" xr6:coauthVersionLast="36" xr6:coauthVersionMax="47" xr10:uidLastSave="{00000000-0000-0000-0000-000000000000}"/>
  <workbookProtection workbookAlgorithmName="SHA-512" workbookHashValue="m2jCzR4vzjKDU1wtEH/iCr8QxhinaIjaErHn7zNpxP/ID3Ia2f6kCJqf61inJkLceihTAYrxSEjUFEgLjk57jQ==" workbookSaltValue="g9/lWmnwl30PUWUJ9pha7A==" workbookSpinCount="100000" lockStructure="1"/>
  <bookViews>
    <workbookView xWindow="-108" yWindow="-108" windowWidth="23256" windowHeight="12576"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G50" i="20" l="1"/>
  <c r="G53" i="20" l="1"/>
  <c r="H38" i="2" l="1"/>
  <c r="E37" i="2"/>
  <c r="H15" i="2"/>
  <c r="G15" i="2"/>
  <c r="H11" i="2"/>
  <c r="G11" i="2"/>
  <c r="H8" i="2"/>
  <c r="H10" i="2" s="1"/>
  <c r="X2" i="2"/>
  <c r="W2" i="2"/>
  <c r="V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<sst xmlns="http://schemas.openxmlformats.org/spreadsheetml/2006/main" count="223" uniqueCount="186">
  <si>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</si>
  <si>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</si>
  <si>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</si>
  <si>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</si>
  <si>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</si>
  <si>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</si>
  <si>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</si>
  <si>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</si>
  <si>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</si>
  <si>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</si>
  <si>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</si>
  <si>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</si>
  <si>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</si>
  <si>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</si>
  <si>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</si>
  <si>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</si>
  <si>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</si>
  <si>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</si>
  <si>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</si>
  <si>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</si>
  <si>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</si>
  <si>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</si>
  <si>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</si>
  <si>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</si>
  <si>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</si>
  <si>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</si>
  <si>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</si>
  <si>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</si>
  <si>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</si>
  <si>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</si>
  <si>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</si>
  <si>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</si>
  <si>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</si>
  <si>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</si>
  <si>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</si>
  <si>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</si>
  <si>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</si>
  <si>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</si>
  <si>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</si>
  <si>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</si>
  <si>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</si>
  <si>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</si>
  <si>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③ｳｪﾌﾞｻｲﾄ関連費　合計</t>
    <phoneticPr fontId="10"/>
  </si>
  <si>
    <t>※補助事業の実績によりウェブサイト関連費における補助金額が減額となる場合があります。</t>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</si>
  <si>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</si>
  <si>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</si>
  <si>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</si>
  <si>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</si>
  <si>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</si>
  <si>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</si>
  <si>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</si>
  <si>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</si>
  <si>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</si>
  <si>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</si>
  <si>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</si>
  <si>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</si>
  <si>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</si>
  <si>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</si>
  <si>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</si>
  <si>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</si>
  <si>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</si>
  <si>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</si>
  <si>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</si>
  <si>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</si>
  <si>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</si>
  <si>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</si>
  <si>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</si>
  <si>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</si>
  <si>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</si>
  <si>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</si>
  <si>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</si>
  <si>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</si>
  <si>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</si>
  <si>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</si>
  <si>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</si>
  <si>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</si>
  <si>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</si>
  <si>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</si>
  <si>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</si>
  <si>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</si>
  <si>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</si>
  <si>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</si>
  <si>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</si>
  <si>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</si>
  <si>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</si>
  <si>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</si>
  <si>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</si>
  <si>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</si>
  <si>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</si>
  <si>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</si>
  <si>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</si>
  <si>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</si>
  <si>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</si>
  <si>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</si>
  <si>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</si>
  <si>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</si>
  <si>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</si>
  <si>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</si>
  <si>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</si>
  <si>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</si>
  <si>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</si>
  <si>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</si>
  <si>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</si>
  <si>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</si>
  <si>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</si>
  <si>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</si>
  <si>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</si>
  <si>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</si>
  <si>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</si>
  <si>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</si>
  <si>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</si>
  <si>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</si>
  <si>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</si>
  <si>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</si>
  <si>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</si>
  <si>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</si>
  <si>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</si>
  <si>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</si>
  <si>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</si>
  <si>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</si>
  <si>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</si>
  <si>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</si>
  <si>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</si>
  <si>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</si>
  <si>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</si>
  <si>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</si>
  <si>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</si>
  <si>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</si>
  <si>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</si>
  <si>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</si>
  <si>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</si>
  <si>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</si>
  <si>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</si>
  <si>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</si>
  <si>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</si>
  <si>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</si>
  <si>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</si>
  <si>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</si>
  <si>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</si>
  <si>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</si>
  <si>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</si>
  <si>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</si>
  <si>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</si>
  <si>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</si>
  <si>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</si>
  <si>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</si>
  <si>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</si>
  <si>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</si>
  <si>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</si>
  <si>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</si>
  <si>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</si>
  <si>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</si>
  <si>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</si>
  <si>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</si>
  <si>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</si>
  <si>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</si>
  <si>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</si>
  <si>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</si>
  <si>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</si>
  <si>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</si>
  <si>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</si>
  <si>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</si>
  <si>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</si>
  <si>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</si>
  <si>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</si>
  <si>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</si>
  <si>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</si>
  <si>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</si>
  <si>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</si>
  <si>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</si>
  <si>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</si>
  <si>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⑥新商品開発費</t>
    <rPh sb="1" eb="4">
      <t>シンショウヒン</t>
    </rPh>
    <rPh sb="4" eb="6">
      <t>カイハツ</t>
    </rPh>
    <rPh sb="6" eb="7">
      <t>ヒ</t>
    </rPh>
    <phoneticPr fontId="10"/>
  </si>
  <si>
    <t>　　免税・簡易課税・2割特例事業者の場合は（税込）を選択してください</t>
    <rPh sb="22" eb="24">
      <t>ゼイコ</t>
    </rPh>
    <phoneticPr fontId="10"/>
  </si>
  <si>
    <t>※補助対象経費の消費税（税抜・税込）区分については、別紙「参考資料」の「１２．消費税等仕入控除税額」を参照のこと。</t>
    <phoneticPr fontId="10"/>
  </si>
  <si>
    <t>申請時において、「アトツギ甲子園」のファイナリスト又は準ファイナリストになった事業者であること。</t>
    <rPh sb="25" eb="26">
      <t>マタ</t>
    </rPh>
    <phoneticPr fontId="10"/>
  </si>
  <si>
    <t>2021年9月30日から2023年9月30日の属する課税期間で一度でも免税事業者であった又は免税事業者であることが見込まれる事業者及び2023年10月1日以降に創業した事業者のうち、適格請求書発行事業者の登録が確認できた事業者であること。</t>
    <rPh sb="65" eb="66">
      <t>オヨ</t>
    </rPh>
    <rPh sb="71" eb="72">
      <t>ネン</t>
    </rPh>
    <rPh sb="74" eb="75">
      <t>ガツ</t>
    </rPh>
    <rPh sb="76" eb="77">
      <t>ニチ</t>
    </rPh>
    <rPh sb="77" eb="79">
      <t>イコウ</t>
    </rPh>
    <rPh sb="80" eb="82">
      <t>ソウギョウ</t>
    </rPh>
    <rPh sb="84" eb="87">
      <t>ジギョウシャ</t>
    </rPh>
    <phoneticPr fontId="10"/>
  </si>
  <si>
    <t>⑩委託・外注費</t>
    <rPh sb="1" eb="3">
      <t>イタク</t>
    </rPh>
    <rPh sb="4" eb="6">
      <t>ガイチュウ</t>
    </rPh>
    <rPh sb="6" eb="7">
      <t>ヒ</t>
    </rPh>
    <phoneticPr fontId="10"/>
  </si>
  <si>
    <t>⑨設備処分費</t>
    <rPh sb="1" eb="3">
      <t>セツビ</t>
    </rPh>
    <rPh sb="3" eb="5">
      <t>ショブン</t>
    </rPh>
    <rPh sb="5" eb="6">
      <t>ヒ</t>
    </rPh>
    <phoneticPr fontId="10"/>
  </si>
  <si>
    <t>⑧借料</t>
    <rPh sb="1" eb="3">
      <t>シャクリョウ</t>
    </rPh>
    <phoneticPr fontId="10"/>
  </si>
  <si>
    <t>※経費区分には、「①機械装置等費」から「⑩委託・外注費」までの各費目を記入してください。</t>
    <rPh sb="24" eb="26">
      <t>ガイチュウ</t>
    </rPh>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</si>
  <si>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※「賃金引上げ枠」を希望する赤字事業者のみ、２つ（「賃金引上げ枠」と「赤字事業者」）にチェックを入れてください</t>
    </r>
    <phoneticPr fontId="10"/>
  </si>
  <si>
    <t>補助事業の終了時点において、事業場内最低賃金が申請時の地域別最低賃金より＋５０円以上であること。すでに事業場内最低賃金が地域別最低賃金より＋５０円以上を達成している場合は、現在支給している、事業場内最低賃金より＋５０円以上とする必要があります。</t>
    <phoneticPr fontId="10"/>
  </si>
  <si>
    <t>産業競争力強化法に基づく「認定市区町村」または「認定市区町村」と連携した「認定連携創業支援等事業者」が実施した「特定創業支援等事業」による支援を受けた日および開業日（設立年月日）が公募締切時から起算して過去３か年の間であること。</t>
    <rPh sb="72" eb="73">
      <t>ウ</t>
    </rPh>
    <rPh sb="75" eb="76">
      <t>ヒ</t>
    </rPh>
    <rPh sb="79" eb="82">
      <t>カイギョウビ</t>
    </rPh>
    <rPh sb="83" eb="85">
      <t>セツリツ</t>
    </rPh>
    <rPh sb="85" eb="88">
      <t>ネンガッピ</t>
    </rPh>
    <phoneticPr fontId="10"/>
  </si>
  <si>
    <t>⑨設備処分費　合計</t>
    <rPh sb="7" eb="9">
      <t>ゴウケイ</t>
    </rPh>
    <phoneticPr fontId="10"/>
  </si>
  <si>
    <t>⑨設備処分費の判定</t>
    <rPh sb="7" eb="9">
      <t>ハンテイ</t>
    </rPh>
    <phoneticPr fontId="10"/>
  </si>
  <si>
    <r>
      <t>【商工会議所地区事務局提出用</t>
    </r>
    <r>
      <rPr>
        <b/>
        <sz val="11"/>
        <color theme="1"/>
        <rFont val="BIZ UDP明朝 Medium"/>
        <family val="1"/>
        <charset val="128"/>
      </rPr>
      <t>（第15回用）</t>
    </r>
    <r>
      <rPr>
        <b/>
        <sz val="14"/>
        <color theme="1"/>
        <rFont val="BIZ UDP明朝 Medium"/>
        <family val="1"/>
        <charset val="128"/>
      </rPr>
      <t>】</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</si>
</sst>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4"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
      <b/>
      <sz val="11"/>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70">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14" fillId="3" borderId="0" xfId="0" applyFont="1" applyFill="1">
      <alignment vertical="center"/>
    </xf>
    <xf numFmtId="0" fontId="7" fillId="0" borderId="0" xfId="0" applyFont="1" applyAlignment="1">
      <alignment vertical="center" shrinkToFit="1"/>
    </xf>
    <xf numFmtId="0" fontId="5" fillId="0" borderId="18"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7" fillId="0" borderId="0" xfId="0" applyFont="1" applyAlignment="1">
      <alignment horizontal="left" vertical="center"/>
    </xf>
    <xf numFmtId="0" fontId="15" fillId="0" borderId="0" xfId="0" applyFont="1" applyAlignment="1">
      <alignment vertical="center" shrinkToFit="1"/>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 fillId="0" borderId="24" xfId="0" applyFont="1" applyBorder="1" applyAlignment="1">
      <alignment vertical="center" shrinkToFit="1"/>
    </xf>
    <xf numFmtId="0" fontId="2" fillId="0" borderId="25" xfId="0" applyFont="1" applyBorder="1" applyAlignment="1">
      <alignment vertical="center" shrinkToFi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26" fillId="0" borderId="0" xfId="0" applyFont="1">
      <alignment vertical="center"/>
    </xf>
    <xf numFmtId="0" fontId="25" fillId="0" borderId="0" xfId="0" applyFont="1">
      <alignment vertical="center"/>
    </xf>
    <xf numFmtId="0" fontId="30" fillId="3" borderId="0" xfId="0" applyFont="1" applyFill="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Protection="1">
      <alignment vertical="center"/>
      <protection locked="0"/>
    </xf>
    <xf numFmtId="0" fontId="0" fillId="3" borderId="0" xfId="0" applyFill="1">
      <alignment vertical="center"/>
    </xf>
    <xf numFmtId="177" fontId="28"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Alignment="1" applyProtection="1">
      <alignment horizontal="right" vertical="top"/>
      <protection hidden="1"/>
    </xf>
    <xf numFmtId="0" fontId="30"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178" fontId="0" fillId="0" borderId="0" xfId="0" applyNumberFormat="1">
      <alignment vertical="center"/>
    </xf>
    <xf numFmtId="0" fontId="0" fillId="0" borderId="30" xfId="0" applyBorder="1">
      <alignment vertical="center"/>
    </xf>
    <xf numFmtId="178" fontId="32" fillId="0" borderId="0" xfId="0" applyNumberFormat="1" applyFont="1">
      <alignment vertical="center"/>
    </xf>
    <xf numFmtId="0" fontId="33" fillId="0" borderId="0" xfId="0" applyFont="1">
      <alignment vertical="center"/>
    </xf>
    <xf numFmtId="179" fontId="0" fillId="0" borderId="0" xfId="0" applyNumberFormat="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30" fillId="14" borderId="34" xfId="0" applyFont="1" applyFill="1" applyBorder="1">
      <alignment vertical="center"/>
    </xf>
    <xf numFmtId="0" fontId="0" fillId="0" borderId="32" xfId="0" applyBorder="1">
      <alignment vertical="center"/>
    </xf>
    <xf numFmtId="49" fontId="34" fillId="0" borderId="0" xfId="0" applyNumberFormat="1" applyFont="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25" fillId="0" borderId="0" xfId="0" applyFont="1" applyAlignment="1">
      <alignment horizontal="center" vertical="center"/>
    </xf>
    <xf numFmtId="177" fontId="14"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Alignment="1">
      <alignment vertical="center" wrapText="1"/>
    </xf>
    <xf numFmtId="0" fontId="0" fillId="10" borderId="0" xfId="0" applyFill="1">
      <alignment vertical="center"/>
    </xf>
    <xf numFmtId="49" fontId="26" fillId="0" borderId="29" xfId="0" applyNumberFormat="1" applyFont="1" applyBorder="1">
      <alignment vertical="center"/>
    </xf>
    <xf numFmtId="176" fontId="0" fillId="0" borderId="35" xfId="0" applyNumberFormat="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182" fontId="31" fillId="7" borderId="0" xfId="1" applyNumberFormat="1"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lignment horizontal="left" vertical="center"/>
    </xf>
    <xf numFmtId="0" fontId="15" fillId="0" borderId="0" xfId="0" applyFont="1">
      <alignment vertical="center"/>
    </xf>
    <xf numFmtId="0" fontId="21" fillId="0" borderId="0" xfId="0" applyFont="1" applyAlignment="1">
      <alignment horizontal="left" vertical="center" wrapText="1" shrinkToFit="1"/>
    </xf>
    <xf numFmtId="0" fontId="15" fillId="0" borderId="0" xfId="0" applyFont="1" applyAlignment="1">
      <alignment vertical="center" wrapText="1" shrinkToFi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35" fillId="10" borderId="0" xfId="0" applyFont="1" applyFill="1" applyAlignment="1">
      <alignment horizontal="left" vertical="center" wrapText="1"/>
    </xf>
    <xf numFmtId="0" fontId="35" fillId="0" borderId="0" xfId="0" applyFont="1" applyAlignment="1">
      <alignment horizontal="left" vertical="center" wrapText="1"/>
    </xf>
    <xf numFmtId="0" fontId="16" fillId="5"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16" fillId="5" borderId="1" xfId="0"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6"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7" fillId="0" borderId="0" xfId="0" applyFont="1" applyAlignment="1">
      <alignment horizontal="left" vertical="center"/>
    </xf>
    <xf numFmtId="0" fontId="0" fillId="0" borderId="0" xfId="0" applyAlignment="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lignment horizontal="center" vertical="center" wrapText="1"/>
    </xf>
    <xf numFmtId="0" fontId="16" fillId="5" borderId="17"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0" fontId="7" fillId="0" borderId="0" xfId="0" applyFont="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vertical="center" wrapText="1" shrinkToFi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19" fillId="0" borderId="0" xfId="0" applyFont="1" applyAlignment="1">
      <alignment horizontal="left" vertical="center" shrinkToFit="1"/>
    </xf>
    <xf numFmtId="0" fontId="5" fillId="0" borderId="17" xfId="0" applyFont="1" applyBorder="1" applyAlignment="1">
      <alignment horizontal="center" vertical="center"/>
    </xf>
    <xf numFmtId="0" fontId="12" fillId="0" borderId="3" xfId="0" applyFont="1" applyBorder="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lignment horizontal="left" vertical="center" shrinkToFit="1"/>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4" fillId="5" borderId="1" xfId="0" applyFont="1" applyFill="1" applyBorder="1" applyAlignment="1">
      <alignment horizontal="left" vertical="center" wrapText="1"/>
    </xf>
    <xf numFmtId="177" fontId="6" fillId="6"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left" vertical="top"/>
    </xf>
    <xf numFmtId="0" fontId="26" fillId="0" borderId="0" xfId="0" applyFont="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25">
    <dxf>
      <fill>
        <patternFill>
          <bgColor rgb="FFFF0000"/>
        </patternFill>
      </fill>
    </dxf>
    <dxf>
      <fill>
        <patternFill>
          <fgColor auto="1"/>
          <bgColor rgb="FFFF0000"/>
        </patternFill>
      </fill>
    </dxf>
    <dxf>
      <fill>
        <patternFill>
          <bgColor rgb="FFFFC7CE"/>
        </patternFill>
      </fill>
    </dxf>
    <dxf>
      <fill>
        <patternFill>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58"/>
  <sheetViews>
    <sheetView showGridLines="0" tabSelected="1" view="pageBreakPreview" zoomScale="115" zoomScaleNormal="115" zoomScaleSheetLayoutView="115" workbookViewId="0">
      <selection activeCell="V5" sqref="V5:AJ5"/>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customWidth="1"/>
    <col min="40" max="40" width="11.33203125" customWidth="1"/>
    <col min="41" max="41" width="15.6640625" customWidth="1"/>
    <col min="42" max="42" width="15.21875" customWidth="1"/>
    <col min="43" max="43" width="4.6640625" customWidth="1"/>
    <col min="44" max="44" width="15.21875"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47" t="s">
        <v>185</v>
      </c>
      <c r="AJ1" s="2" t="s">
        <v>168</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24" t="s">
        <v>21</v>
      </c>
      <c r="T5" s="224"/>
      <c r="U5" s="224"/>
      <c r="V5" s="225"/>
      <c r="W5" s="225"/>
      <c r="X5" s="225"/>
      <c r="Y5" s="225"/>
      <c r="Z5" s="225"/>
      <c r="AA5" s="225"/>
      <c r="AB5" s="225"/>
      <c r="AC5" s="225"/>
      <c r="AD5" s="225"/>
      <c r="AE5" s="225"/>
      <c r="AF5" s="225"/>
      <c r="AG5" s="225"/>
      <c r="AH5" s="225"/>
      <c r="AI5" s="225"/>
      <c r="AJ5" s="225"/>
    </row>
    <row r="6" spans="1:111" ht="19.5" customHeight="1" x14ac:dyDescent="0.2">
      <c r="A6" s="5"/>
    </row>
    <row r="7" spans="1:111" ht="16.350000000000001" customHeight="1" x14ac:dyDescent="0.2">
      <c r="A7" s="6" t="s">
        <v>0</v>
      </c>
      <c r="AM7" s="19"/>
      <c r="AN7" s="19"/>
      <c r="AO7" s="19"/>
      <c r="AP7" s="19"/>
      <c r="AQ7" s="19"/>
      <c r="AR7" s="19"/>
    </row>
    <row r="8" spans="1:111" ht="19.2" customHeight="1" x14ac:dyDescent="0.2">
      <c r="AJ8" s="7" t="s">
        <v>1</v>
      </c>
      <c r="AL8" s="257"/>
      <c r="AM8" s="257"/>
      <c r="AN8" s="257"/>
      <c r="AO8" s="257"/>
      <c r="AP8" s="257"/>
      <c r="AQ8" s="257"/>
      <c r="AR8" s="257"/>
      <c r="AS8" s="257"/>
    </row>
    <row r="9" spans="1:111" ht="16.350000000000001" customHeight="1" x14ac:dyDescent="0.2">
      <c r="A9" s="226" t="s">
        <v>23</v>
      </c>
      <c r="B9" s="227"/>
      <c r="C9" s="227"/>
      <c r="D9" s="227"/>
      <c r="E9" s="227"/>
      <c r="F9" s="228"/>
      <c r="G9" s="232" t="s">
        <v>22</v>
      </c>
      <c r="H9" s="233"/>
      <c r="I9" s="233"/>
      <c r="J9" s="233"/>
      <c r="K9" s="233"/>
      <c r="L9" s="233"/>
      <c r="M9" s="233"/>
      <c r="N9" s="233"/>
      <c r="O9" s="233"/>
      <c r="P9" s="233"/>
      <c r="Q9" s="233"/>
      <c r="R9" s="233"/>
      <c r="S9" s="233"/>
      <c r="T9" s="233"/>
      <c r="U9" s="233"/>
      <c r="V9" s="232" t="s">
        <v>8</v>
      </c>
      <c r="W9" s="233"/>
      <c r="X9" s="233"/>
      <c r="Y9" s="233"/>
      <c r="Z9" s="233"/>
      <c r="AA9" s="233"/>
      <c r="AB9" s="233"/>
      <c r="AC9" s="233"/>
      <c r="AD9" s="236"/>
      <c r="AE9" s="238" t="s">
        <v>25</v>
      </c>
      <c r="AF9" s="239"/>
      <c r="AG9" s="239"/>
      <c r="AH9" s="239"/>
      <c r="AI9" s="239"/>
      <c r="AJ9" s="240"/>
      <c r="AK9" s="18"/>
      <c r="AL9" s="257" t="s">
        <v>152</v>
      </c>
      <c r="AM9" s="257"/>
      <c r="AN9" s="257"/>
      <c r="AO9" s="257"/>
      <c r="AP9" s="257"/>
      <c r="AQ9" s="257"/>
      <c r="AR9" s="257"/>
      <c r="AS9" s="257"/>
    </row>
    <row r="10" spans="1:111" ht="16.350000000000001" customHeight="1" x14ac:dyDescent="0.2">
      <c r="A10" s="229"/>
      <c r="B10" s="230"/>
      <c r="C10" s="230"/>
      <c r="D10" s="230"/>
      <c r="E10" s="230"/>
      <c r="F10" s="231"/>
      <c r="G10" s="234"/>
      <c r="H10" s="235"/>
      <c r="I10" s="235"/>
      <c r="J10" s="235"/>
      <c r="K10" s="235"/>
      <c r="L10" s="235"/>
      <c r="M10" s="235"/>
      <c r="N10" s="235"/>
      <c r="O10" s="235"/>
      <c r="P10" s="235"/>
      <c r="Q10" s="235"/>
      <c r="R10" s="235"/>
      <c r="S10" s="235"/>
      <c r="T10" s="235"/>
      <c r="U10" s="235"/>
      <c r="V10" s="234"/>
      <c r="W10" s="235"/>
      <c r="X10" s="235"/>
      <c r="Y10" s="235"/>
      <c r="Z10" s="235"/>
      <c r="AA10" s="235"/>
      <c r="AB10" s="235"/>
      <c r="AC10" s="235"/>
      <c r="AD10" s="237"/>
      <c r="AE10" s="241" t="s">
        <v>163</v>
      </c>
      <c r="AF10" s="242"/>
      <c r="AG10" s="242"/>
      <c r="AH10" s="242"/>
      <c r="AI10" s="242"/>
      <c r="AJ10" s="243"/>
      <c r="AK10" s="18"/>
      <c r="AL10" s="257" t="s">
        <v>153</v>
      </c>
      <c r="AM10" s="257"/>
      <c r="AN10" s="257"/>
      <c r="AO10" s="257"/>
      <c r="AP10" s="257"/>
      <c r="AQ10" s="257"/>
      <c r="AR10" s="257"/>
      <c r="AS10" s="257"/>
    </row>
    <row r="11" spans="1:111" s="16" customFormat="1" ht="25.95" customHeight="1" x14ac:dyDescent="0.2">
      <c r="A11" s="186"/>
      <c r="B11" s="187"/>
      <c r="C11" s="187"/>
      <c r="D11" s="187"/>
      <c r="E11" s="187"/>
      <c r="F11" s="188"/>
      <c r="G11" s="186"/>
      <c r="H11" s="187"/>
      <c r="I11" s="187"/>
      <c r="J11" s="187"/>
      <c r="K11" s="187"/>
      <c r="L11" s="187"/>
      <c r="M11" s="187"/>
      <c r="N11" s="187"/>
      <c r="O11" s="187"/>
      <c r="P11" s="187"/>
      <c r="Q11" s="187"/>
      <c r="R11" s="187"/>
      <c r="S11" s="187"/>
      <c r="T11" s="187"/>
      <c r="U11" s="187"/>
      <c r="V11" s="189"/>
      <c r="W11" s="190"/>
      <c r="X11" s="190"/>
      <c r="Y11" s="190"/>
      <c r="Z11" s="190"/>
      <c r="AA11" s="190"/>
      <c r="AB11" s="190"/>
      <c r="AC11" s="190"/>
      <c r="AD11" s="191"/>
      <c r="AE11" s="163"/>
      <c r="AF11" s="164"/>
      <c r="AG11" s="164"/>
      <c r="AH11" s="164"/>
      <c r="AI11" s="164"/>
      <c r="AJ11" s="165"/>
      <c r="AK11" s="30"/>
      <c r="AL11" s="258" t="s">
        <v>154</v>
      </c>
      <c r="AM11" s="258"/>
      <c r="AN11" s="258"/>
      <c r="AO11" s="258"/>
      <c r="AP11" s="258"/>
      <c r="AQ11" s="258"/>
      <c r="AR11" s="258"/>
      <c r="AS11" s="258"/>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186"/>
      <c r="B12" s="187"/>
      <c r="C12" s="187"/>
      <c r="D12" s="187"/>
      <c r="E12" s="187"/>
      <c r="F12" s="188"/>
      <c r="G12" s="186"/>
      <c r="H12" s="187"/>
      <c r="I12" s="187"/>
      <c r="J12" s="187"/>
      <c r="K12" s="187"/>
      <c r="L12" s="187"/>
      <c r="M12" s="187"/>
      <c r="N12" s="187"/>
      <c r="O12" s="187"/>
      <c r="P12" s="187"/>
      <c r="Q12" s="187"/>
      <c r="R12" s="187"/>
      <c r="S12" s="187"/>
      <c r="T12" s="187"/>
      <c r="U12" s="187"/>
      <c r="V12" s="189"/>
      <c r="W12" s="190"/>
      <c r="X12" s="190"/>
      <c r="Y12" s="190"/>
      <c r="Z12" s="190"/>
      <c r="AA12" s="190"/>
      <c r="AB12" s="190"/>
      <c r="AC12" s="190"/>
      <c r="AD12" s="191"/>
      <c r="AE12" s="163"/>
      <c r="AF12" s="164"/>
      <c r="AG12" s="164"/>
      <c r="AH12" s="164"/>
      <c r="AI12" s="164"/>
      <c r="AJ12" s="165"/>
      <c r="AK12" s="30"/>
      <c r="AL12" s="259" t="s">
        <v>172</v>
      </c>
      <c r="AM12" s="259"/>
      <c r="AN12" s="259"/>
      <c r="AO12" s="259"/>
      <c r="AP12" s="259"/>
      <c r="AQ12" s="259"/>
      <c r="AR12" s="259"/>
      <c r="AS12" s="259"/>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186"/>
      <c r="B13" s="187"/>
      <c r="C13" s="187"/>
      <c r="D13" s="187"/>
      <c r="E13" s="187"/>
      <c r="F13" s="188"/>
      <c r="G13" s="186"/>
      <c r="H13" s="187"/>
      <c r="I13" s="187"/>
      <c r="J13" s="187"/>
      <c r="K13" s="187"/>
      <c r="L13" s="187"/>
      <c r="M13" s="187"/>
      <c r="N13" s="187"/>
      <c r="O13" s="187"/>
      <c r="P13" s="187"/>
      <c r="Q13" s="187"/>
      <c r="R13" s="187"/>
      <c r="S13" s="187"/>
      <c r="T13" s="187"/>
      <c r="U13" s="187"/>
      <c r="V13" s="189"/>
      <c r="W13" s="190"/>
      <c r="X13" s="190"/>
      <c r="Y13" s="190"/>
      <c r="Z13" s="190"/>
      <c r="AA13" s="190"/>
      <c r="AB13" s="190"/>
      <c r="AC13" s="190"/>
      <c r="AD13" s="191"/>
      <c r="AE13" s="163"/>
      <c r="AF13" s="164"/>
      <c r="AG13" s="164"/>
      <c r="AH13" s="164"/>
      <c r="AI13" s="164"/>
      <c r="AJ13" s="165"/>
      <c r="AK13" s="30"/>
      <c r="AL13" s="257"/>
      <c r="AM13" s="257"/>
      <c r="AN13" s="257"/>
      <c r="AO13" s="257"/>
      <c r="AP13" s="257"/>
      <c r="AQ13" s="257"/>
      <c r="AR13" s="257"/>
      <c r="AS13" s="257"/>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186"/>
      <c r="B14" s="187"/>
      <c r="C14" s="187"/>
      <c r="D14" s="187"/>
      <c r="E14" s="187"/>
      <c r="F14" s="188"/>
      <c r="G14" s="186"/>
      <c r="H14" s="187"/>
      <c r="I14" s="187"/>
      <c r="J14" s="187"/>
      <c r="K14" s="187"/>
      <c r="L14" s="187"/>
      <c r="M14" s="187"/>
      <c r="N14" s="187"/>
      <c r="O14" s="187"/>
      <c r="P14" s="187"/>
      <c r="Q14" s="187"/>
      <c r="R14" s="187"/>
      <c r="S14" s="187"/>
      <c r="T14" s="187"/>
      <c r="U14" s="187"/>
      <c r="V14" s="189"/>
      <c r="W14" s="190"/>
      <c r="X14" s="190"/>
      <c r="Y14" s="190"/>
      <c r="Z14" s="190"/>
      <c r="AA14" s="190"/>
      <c r="AB14" s="190"/>
      <c r="AC14" s="190"/>
      <c r="AD14" s="191"/>
      <c r="AE14" s="163"/>
      <c r="AF14" s="164"/>
      <c r="AG14" s="164"/>
      <c r="AH14" s="164"/>
      <c r="AI14" s="164"/>
      <c r="AJ14" s="165"/>
      <c r="AK14" s="30"/>
      <c r="AL14" s="260"/>
      <c r="AM14" s="260"/>
      <c r="AN14" s="260"/>
      <c r="AO14" s="260"/>
      <c r="AP14" s="260"/>
      <c r="AQ14" s="260"/>
      <c r="AR14" s="260"/>
      <c r="AS14" s="260"/>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5" customHeight="1" x14ac:dyDescent="0.2">
      <c r="A15" s="186"/>
      <c r="B15" s="187"/>
      <c r="C15" s="187"/>
      <c r="D15" s="187"/>
      <c r="E15" s="187"/>
      <c r="F15" s="188"/>
      <c r="G15" s="186"/>
      <c r="H15" s="187"/>
      <c r="I15" s="187"/>
      <c r="J15" s="187"/>
      <c r="K15" s="187"/>
      <c r="L15" s="187"/>
      <c r="M15" s="187"/>
      <c r="N15" s="187"/>
      <c r="O15" s="187"/>
      <c r="P15" s="187"/>
      <c r="Q15" s="187"/>
      <c r="R15" s="187"/>
      <c r="S15" s="187"/>
      <c r="T15" s="187"/>
      <c r="U15" s="187"/>
      <c r="V15" s="189"/>
      <c r="W15" s="190"/>
      <c r="X15" s="190"/>
      <c r="Y15" s="190"/>
      <c r="Z15" s="190"/>
      <c r="AA15" s="190"/>
      <c r="AB15" s="190"/>
      <c r="AC15" s="190"/>
      <c r="AD15" s="191"/>
      <c r="AE15" s="163"/>
      <c r="AF15" s="164"/>
      <c r="AG15" s="164"/>
      <c r="AH15" s="164"/>
      <c r="AI15" s="164"/>
      <c r="AJ15" s="165"/>
      <c r="AK15" s="30"/>
      <c r="AL15" s="40"/>
      <c r="AM15" s="40"/>
      <c r="AN15" s="40"/>
      <c r="AO15" s="40"/>
      <c r="AP15" s="40"/>
      <c r="AQ15" s="40"/>
      <c r="AR15" s="40"/>
      <c r="AS15" s="40"/>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14" t="s">
        <v>143</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6"/>
      <c r="AE16" s="195">
        <f>ExpenseCategoryList!K$2</f>
        <v>0</v>
      </c>
      <c r="AF16" s="196"/>
      <c r="AG16" s="196"/>
      <c r="AH16" s="196"/>
      <c r="AI16" s="196"/>
      <c r="AJ16" s="197"/>
      <c r="AK16" s="18"/>
      <c r="AL16" s="35"/>
      <c r="AM16" s="36" t="s">
        <v>60</v>
      </c>
      <c r="AN16" s="99" t="s">
        <v>128</v>
      </c>
      <c r="AO16" s="99" t="s">
        <v>96</v>
      </c>
      <c r="AP16" s="40" t="s">
        <v>110</v>
      </c>
      <c r="AQ16" s="40"/>
      <c r="AR16" s="41"/>
      <c r="AS16" s="40"/>
    </row>
    <row r="17" spans="1:68" s="16" customFormat="1" ht="28.95" customHeight="1" x14ac:dyDescent="0.2">
      <c r="A17" s="219" t="s">
        <v>144</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1"/>
      <c r="AE17" s="208"/>
      <c r="AF17" s="209"/>
      <c r="AG17" s="209"/>
      <c r="AH17" s="209"/>
      <c r="AI17" s="209"/>
      <c r="AJ17" s="210"/>
      <c r="AK17" s="18"/>
      <c r="AL17" s="35"/>
      <c r="AM17" s="38" t="str">
        <f>ExpenseCategoryList!E29</f>
        <v>×</v>
      </c>
      <c r="AN17" s="117">
        <f>IF(AP17=AR17,ExpenseCategoryList!I14,"")</f>
        <v>0</v>
      </c>
      <c r="AO17" s="39" t="str">
        <f>ExpenseCategoryList!J38</f>
        <v/>
      </c>
      <c r="AP17" s="60">
        <f>ExpenseCategoryList!I29</f>
        <v>0</v>
      </c>
      <c r="AQ17" s="42" t="s">
        <v>65</v>
      </c>
      <c r="AR17" s="60">
        <f>ExpenseCategoryList!G29</f>
        <v>0</v>
      </c>
      <c r="AS17" s="40"/>
    </row>
    <row r="18" spans="1:68" s="16" customFormat="1" ht="19.95" customHeight="1" x14ac:dyDescent="0.2">
      <c r="A18" s="214" t="s">
        <v>145</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c r="AE18" s="195">
        <f>ExpenseCategoryList!$Q$2</f>
        <v>0</v>
      </c>
      <c r="AF18" s="196"/>
      <c r="AG18" s="196"/>
      <c r="AH18" s="196"/>
      <c r="AI18" s="196"/>
      <c r="AJ18" s="197"/>
      <c r="AK18" s="18"/>
      <c r="AL18" s="35"/>
      <c r="AM18" s="61"/>
      <c r="AN18" s="61"/>
      <c r="AO18" s="61"/>
      <c r="AP18" s="62"/>
      <c r="AQ18" s="62"/>
      <c r="AR18" s="62"/>
      <c r="AS18" s="40"/>
    </row>
    <row r="19" spans="1:68" s="16" customFormat="1" ht="28.95" customHeight="1" x14ac:dyDescent="0.2">
      <c r="A19" s="219" t="s">
        <v>146</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1"/>
      <c r="AE19" s="211">
        <f>ExpenseCategoryList!H40</f>
        <v>0</v>
      </c>
      <c r="AF19" s="212"/>
      <c r="AG19" s="212"/>
      <c r="AH19" s="212"/>
      <c r="AI19" s="212"/>
      <c r="AJ19" s="213"/>
      <c r="AK19" s="18"/>
      <c r="AL19" s="35"/>
      <c r="AM19" s="63" t="str">
        <f>ExpenseCategoryList!E31</f>
        <v>〇</v>
      </c>
      <c r="AN19" s="117">
        <f>IF(AP17=AR17,ExpenseCategoryList!I18,"")</f>
        <v>0</v>
      </c>
      <c r="AO19" s="64" t="str">
        <f>ExpenseCategoryList!J40</f>
        <v/>
      </c>
      <c r="AP19" s="100"/>
      <c r="AQ19" s="65"/>
      <c r="AR19" s="100"/>
      <c r="AS19" s="40"/>
    </row>
    <row r="20" spans="1:68" ht="19.5" customHeight="1" x14ac:dyDescent="0.2">
      <c r="A20" s="214" t="s">
        <v>147</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6"/>
      <c r="AE20" s="195">
        <f>ExpenseCategoryList!$D$2</f>
        <v>0</v>
      </c>
      <c r="AF20" s="196"/>
      <c r="AG20" s="196"/>
      <c r="AH20" s="196"/>
      <c r="AI20" s="196"/>
      <c r="AJ20" s="197"/>
      <c r="AK20" s="18"/>
      <c r="AL20" s="35"/>
      <c r="AM20" s="61"/>
      <c r="AN20" s="61"/>
      <c r="AO20" s="61"/>
      <c r="AP20" s="66"/>
      <c r="AQ20" s="66"/>
      <c r="AR20" s="66"/>
    </row>
    <row r="21" spans="1:68" ht="19.5" customHeight="1" x14ac:dyDescent="0.2">
      <c r="A21" s="192" t="s">
        <v>148</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c r="AE21" s="195">
        <f>ExpenseCategoryList!J20</f>
        <v>0</v>
      </c>
      <c r="AF21" s="196"/>
      <c r="AG21" s="196"/>
      <c r="AH21" s="196"/>
      <c r="AI21" s="196"/>
      <c r="AJ21" s="197"/>
      <c r="AK21" s="116" t="str">
        <f>ExpenseCategoryList!E46</f>
        <v/>
      </c>
      <c r="AL21" s="35"/>
      <c r="AM21" s="63" t="str">
        <f>ExpenseCategoryList!E33</f>
        <v>〇</v>
      </c>
      <c r="AN21" s="117">
        <f>IF(AP17=AR17,ExpenseCategoryList!I22,"")</f>
        <v>0</v>
      </c>
      <c r="AO21" s="99" t="s">
        <v>102</v>
      </c>
      <c r="AP21" s="100"/>
      <c r="AQ21" s="67"/>
      <c r="AR21" s="100"/>
      <c r="AS21" s="41"/>
    </row>
    <row r="22" spans="1:68" ht="19.5" customHeight="1" x14ac:dyDescent="0.2">
      <c r="A22" s="250" t="s">
        <v>55</v>
      </c>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1" t="str">
        <f>ExpenseCategoryList!$R$2</f>
        <v>いいえ</v>
      </c>
      <c r="AF22" s="251"/>
      <c r="AG22" s="251"/>
      <c r="AH22" s="251"/>
      <c r="AI22" s="251"/>
      <c r="AJ22" s="251"/>
      <c r="AM22" s="63" t="str">
        <f>ExpenseCategoryList!E34</f>
        <v>×</v>
      </c>
      <c r="AN22" s="64"/>
      <c r="AO22" s="64" t="str">
        <f>ExpenseCategoryList!J42</f>
        <v/>
      </c>
      <c r="AP22" s="64"/>
      <c r="AQ22" s="64"/>
      <c r="AR22" s="64"/>
      <c r="AS22" s="37"/>
    </row>
    <row r="23" spans="1:68" ht="17.7" customHeight="1" x14ac:dyDescent="0.2">
      <c r="A23" s="198" t="s">
        <v>179</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8"/>
      <c r="AM23" s="68"/>
      <c r="AN23" s="68"/>
      <c r="AO23" s="66"/>
      <c r="AP23" s="66"/>
      <c r="AQ23" s="66"/>
      <c r="AR23" s="66"/>
    </row>
    <row r="24" spans="1:68" ht="17.7" customHeight="1" x14ac:dyDescent="0.2">
      <c r="A24" s="198" t="s">
        <v>28</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8"/>
      <c r="AM24" s="119" t="s">
        <v>104</v>
      </c>
      <c r="AN24" s="118" t="str">
        <f xml:space="preserve"> ExpenseCategoryList!E38</f>
        <v/>
      </c>
      <c r="AO24" s="120" t="s">
        <v>129</v>
      </c>
      <c r="AP24" s="133" t="str">
        <f xml:space="preserve"> ExpenseCategoryList!E40</f>
        <v/>
      </c>
      <c r="AQ24" s="66"/>
      <c r="AR24" s="66"/>
    </row>
    <row r="25" spans="1:68" ht="17.7" customHeight="1" x14ac:dyDescent="0.2">
      <c r="A25" s="159" t="s">
        <v>173</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24"/>
      <c r="AM25" s="149"/>
      <c r="AN25" s="149"/>
      <c r="AO25" s="149"/>
      <c r="AP25" s="149"/>
      <c r="AQ25" s="149"/>
      <c r="AR25" s="149"/>
      <c r="AS25" s="149"/>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row>
    <row r="26" spans="1:68" ht="30" customHeight="1" x14ac:dyDescent="0.2">
      <c r="A26" s="217" t="s">
        <v>151</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134"/>
      <c r="AM26" s="148" t="str">
        <f>ExpenseCategoryList!E48 &amp; ExpenseCategoryList!E49</f>
        <v/>
      </c>
      <c r="AN26" s="148"/>
      <c r="AO26" s="148"/>
      <c r="AP26" s="148"/>
      <c r="AQ26" s="148"/>
      <c r="AR26" s="148"/>
      <c r="AS26" s="148"/>
    </row>
    <row r="27" spans="1:68" ht="17.7" customHeight="1" x14ac:dyDescent="0.2">
      <c r="A27" s="222" t="s">
        <v>150</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5"/>
      <c r="AM27" s="110"/>
      <c r="AN27" s="110"/>
      <c r="AO27" s="110"/>
      <c r="AP27" s="110"/>
      <c r="AQ27" s="110"/>
      <c r="AR27" s="110"/>
      <c r="AS27" s="110"/>
    </row>
    <row r="28" spans="1:68" ht="17.7" customHeight="1" x14ac:dyDescent="0.2">
      <c r="A28" s="222" t="s">
        <v>166</v>
      </c>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7"/>
      <c r="AM28" s="160"/>
      <c r="AN28" s="160"/>
      <c r="AO28" s="160"/>
      <c r="AP28" s="160"/>
      <c r="AQ28" s="160"/>
      <c r="AR28" s="160"/>
    </row>
    <row r="29" spans="1:68" ht="17.7" customHeight="1" x14ac:dyDescent="0.2">
      <c r="A29" s="222" t="s">
        <v>43</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7"/>
      <c r="AM29" t="s">
        <v>111</v>
      </c>
    </row>
    <row r="30" spans="1:68" ht="17.7" customHeight="1" x14ac:dyDescent="0.2">
      <c r="A30" s="247" t="s">
        <v>149</v>
      </c>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6"/>
      <c r="AM30" t="s">
        <v>112</v>
      </c>
    </row>
    <row r="31" spans="1:68" ht="17.7" customHeight="1" x14ac:dyDescent="0.2">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8"/>
      <c r="AM31" t="s">
        <v>113</v>
      </c>
    </row>
    <row r="32" spans="1:68" ht="41.4" customHeight="1" x14ac:dyDescent="0.2">
      <c r="A32" s="248" t="s">
        <v>180</v>
      </c>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0"/>
      <c r="AM32" t="s">
        <v>114</v>
      </c>
    </row>
    <row r="33" spans="1:39" ht="22.95" customHeight="1" thickBot="1" x14ac:dyDescent="0.25">
      <c r="A33" s="176" t="s">
        <v>29</v>
      </c>
      <c r="B33" s="150"/>
      <c r="C33" s="150"/>
      <c r="D33" s="150"/>
      <c r="E33" s="150"/>
      <c r="F33" s="177"/>
      <c r="G33" s="177"/>
      <c r="H33" s="177"/>
      <c r="I33" s="177"/>
      <c r="J33" s="150" t="s">
        <v>34</v>
      </c>
      <c r="K33" s="150"/>
      <c r="L33" s="150"/>
      <c r="M33" s="150"/>
      <c r="N33" s="153" t="s">
        <v>36</v>
      </c>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20"/>
      <c r="AL33" s="20"/>
    </row>
    <row r="34" spans="1:39" ht="22.95" customHeight="1" thickTop="1" x14ac:dyDescent="0.2">
      <c r="A34" s="252" t="s">
        <v>56</v>
      </c>
      <c r="B34" s="253"/>
      <c r="C34" s="253"/>
      <c r="D34" s="253"/>
      <c r="E34" s="253"/>
      <c r="F34" s="33"/>
      <c r="G34" s="254" t="s">
        <v>37</v>
      </c>
      <c r="H34" s="254"/>
      <c r="I34" s="34"/>
      <c r="J34" s="155" t="s">
        <v>57</v>
      </c>
      <c r="K34" s="155"/>
      <c r="L34" s="155"/>
      <c r="M34" s="151"/>
      <c r="N34" s="156" t="s">
        <v>58</v>
      </c>
      <c r="O34" s="157"/>
      <c r="P34" s="157"/>
      <c r="Q34" s="157"/>
      <c r="R34" s="157"/>
      <c r="S34" s="157"/>
      <c r="T34" s="157"/>
      <c r="U34" s="157"/>
      <c r="V34" s="157"/>
      <c r="W34" s="157"/>
      <c r="X34" s="157"/>
      <c r="Y34" s="157"/>
      <c r="Z34" s="157"/>
      <c r="AA34" s="157"/>
      <c r="AB34" s="157"/>
      <c r="AC34" s="157"/>
      <c r="AD34" s="157"/>
      <c r="AE34" s="157"/>
      <c r="AF34" s="157"/>
      <c r="AG34" s="157"/>
      <c r="AH34" s="157"/>
      <c r="AI34" s="157"/>
      <c r="AJ34" s="158"/>
      <c r="AK34" s="20"/>
      <c r="AL34" s="20"/>
      <c r="AM34" t="s">
        <v>117</v>
      </c>
    </row>
    <row r="35" spans="1:39" ht="43.2" customHeight="1" x14ac:dyDescent="0.2">
      <c r="A35" s="223" t="s">
        <v>30</v>
      </c>
      <c r="B35" s="152"/>
      <c r="C35" s="152"/>
      <c r="D35" s="152"/>
      <c r="E35" s="178"/>
      <c r="F35" s="31"/>
      <c r="G35" s="255" t="s">
        <v>37</v>
      </c>
      <c r="H35" s="255"/>
      <c r="I35" s="32"/>
      <c r="J35" s="151" t="s">
        <v>35</v>
      </c>
      <c r="K35" s="152"/>
      <c r="L35" s="152"/>
      <c r="M35" s="152"/>
      <c r="N35" s="154" t="s">
        <v>181</v>
      </c>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20"/>
      <c r="AL35" s="20"/>
      <c r="AM35" t="s">
        <v>115</v>
      </c>
    </row>
    <row r="36" spans="1:39" ht="22.95" customHeight="1" x14ac:dyDescent="0.2">
      <c r="A36" s="21"/>
      <c r="B36" s="245" t="s">
        <v>106</v>
      </c>
      <c r="C36" s="245"/>
      <c r="D36" s="245"/>
      <c r="E36" s="246"/>
      <c r="F36" s="22"/>
      <c r="G36" s="256" t="s">
        <v>37</v>
      </c>
      <c r="H36" s="256"/>
      <c r="I36" s="23"/>
      <c r="J36" s="151"/>
      <c r="K36" s="152"/>
      <c r="L36" s="152"/>
      <c r="M36" s="152"/>
      <c r="N36" s="154" t="s">
        <v>169</v>
      </c>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20"/>
      <c r="AL36" s="20"/>
      <c r="AM36" t="s">
        <v>116</v>
      </c>
    </row>
    <row r="37" spans="1:39" ht="22.95" customHeight="1" x14ac:dyDescent="0.2">
      <c r="A37" s="152" t="s">
        <v>31</v>
      </c>
      <c r="B37" s="152"/>
      <c r="C37" s="152"/>
      <c r="D37" s="152"/>
      <c r="E37" s="178"/>
      <c r="F37" s="22"/>
      <c r="G37" s="175" t="s">
        <v>37</v>
      </c>
      <c r="H37" s="175"/>
      <c r="I37" s="23"/>
      <c r="J37" s="151"/>
      <c r="K37" s="152"/>
      <c r="L37" s="152"/>
      <c r="M37" s="152"/>
      <c r="N37" s="154" t="s">
        <v>170</v>
      </c>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20"/>
      <c r="AL37" s="20"/>
    </row>
    <row r="38" spans="1:39" ht="22.95" customHeight="1" x14ac:dyDescent="0.2">
      <c r="A38" s="152" t="s">
        <v>32</v>
      </c>
      <c r="B38" s="152"/>
      <c r="C38" s="152"/>
      <c r="D38" s="152"/>
      <c r="E38" s="178"/>
      <c r="F38" s="22"/>
      <c r="G38" s="175" t="s">
        <v>37</v>
      </c>
      <c r="H38" s="175"/>
      <c r="I38" s="23"/>
      <c r="J38" s="151"/>
      <c r="K38" s="152"/>
      <c r="L38" s="152"/>
      <c r="M38" s="152"/>
      <c r="N38" s="154" t="s">
        <v>174</v>
      </c>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20"/>
      <c r="AL38" s="20"/>
      <c r="AM38" t="s">
        <v>105</v>
      </c>
    </row>
    <row r="39" spans="1:39" ht="43.8" customHeight="1" x14ac:dyDescent="0.2">
      <c r="A39" s="152" t="s">
        <v>33</v>
      </c>
      <c r="B39" s="152"/>
      <c r="C39" s="152"/>
      <c r="D39" s="152"/>
      <c r="E39" s="178"/>
      <c r="F39" s="22"/>
      <c r="G39" s="175" t="s">
        <v>37</v>
      </c>
      <c r="H39" s="175"/>
      <c r="I39" s="23"/>
      <c r="J39" s="151"/>
      <c r="K39" s="152"/>
      <c r="L39" s="152"/>
      <c r="M39" s="152"/>
      <c r="N39" s="154" t="s">
        <v>182</v>
      </c>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20"/>
      <c r="AL39" s="20"/>
      <c r="AM39" t="s">
        <v>132</v>
      </c>
    </row>
    <row r="40" spans="1:39" ht="19.5" customHeight="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row>
    <row r="41" spans="1:39" ht="19.5" customHeigh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row>
    <row r="42" spans="1:39" ht="19.5" customHeight="1" x14ac:dyDescent="0.2">
      <c r="A42" s="218" t="s">
        <v>157</v>
      </c>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M42" t="s">
        <v>107</v>
      </c>
    </row>
    <row r="43" spans="1:39" ht="25.95" customHeight="1" x14ac:dyDescent="0.2">
      <c r="A43" s="176" t="s">
        <v>165</v>
      </c>
      <c r="B43" s="150"/>
      <c r="C43" s="150"/>
      <c r="D43" s="150"/>
      <c r="E43" s="150"/>
      <c r="F43" s="177"/>
      <c r="G43" s="177"/>
      <c r="H43" s="177"/>
      <c r="I43" s="177"/>
      <c r="J43" s="176" t="s">
        <v>159</v>
      </c>
      <c r="K43" s="150"/>
      <c r="L43" s="150"/>
      <c r="M43" s="150"/>
      <c r="N43" s="153" t="s">
        <v>160</v>
      </c>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35"/>
      <c r="AL43" s="136"/>
      <c r="AM43" t="s">
        <v>133</v>
      </c>
    </row>
    <row r="44" spans="1:39" ht="37.200000000000003" customHeight="1" x14ac:dyDescent="0.2">
      <c r="A44" s="152" t="s">
        <v>158</v>
      </c>
      <c r="B44" s="152"/>
      <c r="C44" s="152"/>
      <c r="D44" s="152"/>
      <c r="E44" s="178"/>
      <c r="F44" s="137"/>
      <c r="G44" s="175" t="s">
        <v>37</v>
      </c>
      <c r="H44" s="175"/>
      <c r="I44" s="138"/>
      <c r="J44" s="155" t="s">
        <v>57</v>
      </c>
      <c r="K44" s="155"/>
      <c r="L44" s="155"/>
      <c r="M44" s="151"/>
      <c r="N44" s="179" t="s">
        <v>175</v>
      </c>
      <c r="O44" s="180"/>
      <c r="P44" s="180"/>
      <c r="Q44" s="180"/>
      <c r="R44" s="180"/>
      <c r="S44" s="180"/>
      <c r="T44" s="180"/>
      <c r="U44" s="180"/>
      <c r="V44" s="180"/>
      <c r="W44" s="180"/>
      <c r="X44" s="180"/>
      <c r="Y44" s="180"/>
      <c r="Z44" s="180"/>
      <c r="AA44" s="180"/>
      <c r="AB44" s="180"/>
      <c r="AC44" s="180"/>
      <c r="AD44" s="180"/>
      <c r="AE44" s="180"/>
      <c r="AF44" s="180"/>
      <c r="AG44" s="180"/>
      <c r="AH44" s="180"/>
      <c r="AI44" s="180"/>
      <c r="AJ44" s="181"/>
      <c r="AK44" s="20"/>
      <c r="AM44" t="s">
        <v>108</v>
      </c>
    </row>
    <row r="45" spans="1:39" ht="19.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M45" t="s">
        <v>134</v>
      </c>
    </row>
    <row r="46" spans="1:39" ht="19.5" customHeight="1" x14ac:dyDescent="0.2">
      <c r="A46" s="9" t="s">
        <v>2</v>
      </c>
      <c r="AK46" s="20"/>
      <c r="AM46" t="s">
        <v>108</v>
      </c>
    </row>
    <row r="47" spans="1:39" ht="19.5" customHeight="1" x14ac:dyDescent="0.2">
      <c r="A47" s="9" t="s">
        <v>109</v>
      </c>
      <c r="AM47" t="s">
        <v>135</v>
      </c>
    </row>
    <row r="48" spans="1:39" ht="39" customHeight="1" x14ac:dyDescent="0.2">
      <c r="A48" s="200" t="s">
        <v>3</v>
      </c>
      <c r="B48" s="201"/>
      <c r="C48" s="201"/>
      <c r="D48" s="201"/>
      <c r="E48" s="201"/>
      <c r="F48" s="201"/>
      <c r="G48" s="202" t="s">
        <v>6</v>
      </c>
      <c r="H48" s="203"/>
      <c r="I48" s="203"/>
      <c r="J48" s="203"/>
      <c r="K48" s="203"/>
      <c r="L48" s="204"/>
      <c r="M48" s="202" t="s">
        <v>5</v>
      </c>
      <c r="N48" s="203"/>
      <c r="O48" s="203"/>
      <c r="P48" s="203"/>
      <c r="Q48" s="204"/>
      <c r="T48" s="200" t="s">
        <v>3</v>
      </c>
      <c r="U48" s="200"/>
      <c r="V48" s="200"/>
      <c r="W48" s="200"/>
      <c r="X48" s="200"/>
      <c r="Y48" s="200"/>
      <c r="Z48" s="200"/>
      <c r="AA48" s="205" t="s">
        <v>6</v>
      </c>
      <c r="AB48" s="206"/>
      <c r="AC48" s="206"/>
      <c r="AD48" s="206"/>
      <c r="AE48" s="207"/>
      <c r="AF48" s="244" t="s">
        <v>5</v>
      </c>
      <c r="AG48" s="244"/>
      <c r="AH48" s="244"/>
      <c r="AI48" s="244"/>
      <c r="AJ48" s="244"/>
      <c r="AM48" t="s">
        <v>131</v>
      </c>
    </row>
    <row r="49" spans="1:39" ht="19.5" customHeight="1" x14ac:dyDescent="0.2">
      <c r="A49" s="161" t="s">
        <v>18</v>
      </c>
      <c r="B49" s="162"/>
      <c r="C49" s="162"/>
      <c r="D49" s="162"/>
      <c r="E49" s="162"/>
      <c r="F49" s="162"/>
      <c r="G49" s="163">
        <v>0</v>
      </c>
      <c r="H49" s="164"/>
      <c r="I49" s="164"/>
      <c r="J49" s="164"/>
      <c r="K49" s="164"/>
      <c r="L49" s="165"/>
      <c r="M49" s="172"/>
      <c r="N49" s="173"/>
      <c r="O49" s="173"/>
      <c r="P49" s="173"/>
      <c r="Q49" s="174"/>
      <c r="T49" s="161" t="s">
        <v>12</v>
      </c>
      <c r="U49" s="162"/>
      <c r="V49" s="162"/>
      <c r="W49" s="162"/>
      <c r="X49" s="162"/>
      <c r="Y49" s="162"/>
      <c r="Z49" s="162"/>
      <c r="AA49" s="183">
        <v>0</v>
      </c>
      <c r="AB49" s="184"/>
      <c r="AC49" s="184"/>
      <c r="AD49" s="184"/>
      <c r="AE49" s="185"/>
      <c r="AF49" s="199"/>
      <c r="AG49" s="199"/>
      <c r="AH49" s="199"/>
      <c r="AI49" s="199"/>
      <c r="AJ49" s="199"/>
      <c r="AK49" s="18"/>
    </row>
    <row r="50" spans="1:39" ht="39" customHeight="1" x14ac:dyDescent="0.2">
      <c r="A50" s="161" t="s">
        <v>15</v>
      </c>
      <c r="B50" s="162"/>
      <c r="C50" s="162"/>
      <c r="D50" s="162"/>
      <c r="E50" s="162"/>
      <c r="F50" s="162"/>
      <c r="G50" s="169">
        <f>AA49+AA50+AA51</f>
        <v>0</v>
      </c>
      <c r="H50" s="170"/>
      <c r="I50" s="170"/>
      <c r="J50" s="170"/>
      <c r="K50" s="170"/>
      <c r="L50" s="171"/>
      <c r="M50" s="172"/>
      <c r="N50" s="173"/>
      <c r="O50" s="173"/>
      <c r="P50" s="173"/>
      <c r="Q50" s="174"/>
      <c r="T50" s="161" t="s">
        <v>13</v>
      </c>
      <c r="U50" s="162"/>
      <c r="V50" s="162"/>
      <c r="W50" s="162"/>
      <c r="X50" s="162"/>
      <c r="Y50" s="162"/>
      <c r="Z50" s="162"/>
      <c r="AA50" s="183">
        <v>0</v>
      </c>
      <c r="AB50" s="184"/>
      <c r="AC50" s="184"/>
      <c r="AD50" s="184"/>
      <c r="AE50" s="185"/>
      <c r="AF50" s="182"/>
      <c r="AG50" s="182"/>
      <c r="AH50" s="182"/>
      <c r="AI50" s="182"/>
      <c r="AJ50" s="182"/>
      <c r="AK50" s="18"/>
    </row>
    <row r="51" spans="1:39" ht="39" customHeight="1" x14ac:dyDescent="0.2">
      <c r="A51" s="161" t="s">
        <v>16</v>
      </c>
      <c r="B51" s="162"/>
      <c r="C51" s="162"/>
      <c r="D51" s="162"/>
      <c r="E51" s="162"/>
      <c r="F51" s="162"/>
      <c r="G51" s="163">
        <v>0</v>
      </c>
      <c r="H51" s="164"/>
      <c r="I51" s="164"/>
      <c r="J51" s="164"/>
      <c r="K51" s="164"/>
      <c r="L51" s="165"/>
      <c r="M51" s="182"/>
      <c r="N51" s="182"/>
      <c r="O51" s="182"/>
      <c r="P51" s="182"/>
      <c r="Q51" s="182"/>
      <c r="T51" s="161" t="s">
        <v>14</v>
      </c>
      <c r="U51" s="162"/>
      <c r="V51" s="162"/>
      <c r="W51" s="162"/>
      <c r="X51" s="162"/>
      <c r="Y51" s="162"/>
      <c r="Z51" s="162"/>
      <c r="AA51" s="183">
        <v>0</v>
      </c>
      <c r="AB51" s="184"/>
      <c r="AC51" s="184"/>
      <c r="AD51" s="184"/>
      <c r="AE51" s="185"/>
      <c r="AF51" s="182"/>
      <c r="AG51" s="182"/>
      <c r="AH51" s="182"/>
      <c r="AI51" s="182"/>
      <c r="AJ51" s="182"/>
      <c r="AK51" s="18"/>
    </row>
    <row r="52" spans="1:39" ht="19.5" customHeight="1" x14ac:dyDescent="0.2">
      <c r="A52" s="161" t="s">
        <v>17</v>
      </c>
      <c r="B52" s="162"/>
      <c r="C52" s="162"/>
      <c r="D52" s="162"/>
      <c r="E52" s="162"/>
      <c r="F52" s="162"/>
      <c r="G52" s="163">
        <v>0</v>
      </c>
      <c r="H52" s="164"/>
      <c r="I52" s="164"/>
      <c r="J52" s="164"/>
      <c r="K52" s="164"/>
      <c r="L52" s="165"/>
      <c r="M52" s="166"/>
      <c r="N52" s="167"/>
      <c r="O52" s="167"/>
      <c r="P52" s="167"/>
      <c r="Q52" s="168"/>
      <c r="AJ52" s="143"/>
      <c r="AM52" s="36" t="s">
        <v>60</v>
      </c>
    </row>
    <row r="53" spans="1:39" ht="39" customHeight="1" x14ac:dyDescent="0.2">
      <c r="A53" s="161" t="s">
        <v>7</v>
      </c>
      <c r="B53" s="162"/>
      <c r="C53" s="162"/>
      <c r="D53" s="162"/>
      <c r="E53" s="162"/>
      <c r="F53" s="162"/>
      <c r="G53" s="169">
        <f>G49+G50+G51+G52</f>
        <v>0</v>
      </c>
      <c r="H53" s="170"/>
      <c r="I53" s="170"/>
      <c r="J53" s="170"/>
      <c r="K53" s="170"/>
      <c r="L53" s="171"/>
      <c r="M53" s="172"/>
      <c r="N53" s="173"/>
      <c r="O53" s="173"/>
      <c r="P53" s="173"/>
      <c r="Q53" s="174"/>
      <c r="AM53" s="63" t="str">
        <f>ExpenseCategoryList!D57</f>
        <v>〇</v>
      </c>
    </row>
    <row r="54" spans="1:39" ht="19.5" customHeight="1" x14ac:dyDescent="0.2">
      <c r="A54" s="10"/>
      <c r="B54" s="11"/>
      <c r="C54" s="11"/>
      <c r="D54" s="11"/>
      <c r="E54" s="11"/>
      <c r="F54" s="11"/>
      <c r="G54" s="12"/>
      <c r="H54" s="11"/>
      <c r="I54" s="11"/>
      <c r="J54" s="11"/>
      <c r="K54" s="11"/>
      <c r="L54" s="13"/>
      <c r="M54" s="11"/>
      <c r="N54" s="11"/>
      <c r="O54" s="11"/>
      <c r="P54" s="11"/>
    </row>
    <row r="55" spans="1:39" ht="19.5" customHeight="1" x14ac:dyDescent="0.2">
      <c r="A55" s="8" t="s">
        <v>155</v>
      </c>
    </row>
    <row r="56" spans="1:39" ht="19.5" customHeight="1" x14ac:dyDescent="0.2">
      <c r="A56" s="8" t="s">
        <v>156</v>
      </c>
    </row>
    <row r="57" spans="1:39" ht="19.5" customHeight="1" x14ac:dyDescent="0.2">
      <c r="A57" s="8" t="s">
        <v>4</v>
      </c>
    </row>
    <row r="58" spans="1:39" ht="19.5" customHeight="1" x14ac:dyDescent="0.2">
      <c r="A58" s="14" t="s">
        <v>19</v>
      </c>
    </row>
  </sheetData>
  <sheetProtection sheet="1" formatRows="0" insertRows="0" deleteRows="0" selectLockedCells="1"/>
  <dataConsolidate/>
  <mergeCells count="122">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s>
  <phoneticPr fontId="10"/>
  <conditionalFormatting sqref="A11:A19">
    <cfRule type="expression" dxfId="24" priority="6">
      <formula>$DD11="×"</formula>
    </cfRule>
  </conditionalFormatting>
  <conditionalFormatting sqref="G11:G15">
    <cfRule type="expression" dxfId="23" priority="5">
      <formula>$DE11="×"</formula>
    </cfRule>
  </conditionalFormatting>
  <conditionalFormatting sqref="G49">
    <cfRule type="expression" dxfId="22" priority="231">
      <formula>OR(AE20&lt;&gt;G53,$G$49="")</formula>
    </cfRule>
  </conditionalFormatting>
  <conditionalFormatting sqref="G51">
    <cfRule type="expression" dxfId="21" priority="81">
      <formula>OR(AE20&lt;&gt;$G$53,$G$51="")</formula>
    </cfRule>
  </conditionalFormatting>
  <conditionalFormatting sqref="G52">
    <cfRule type="expression" dxfId="20" priority="232">
      <formula>OR(AE20&lt;&gt;G53,$G$52="")</formula>
    </cfRule>
  </conditionalFormatting>
  <conditionalFormatting sqref="M51">
    <cfRule type="expression" dxfId="19" priority="7">
      <formula>AND($G$51&gt;0,$M$51="")</formula>
    </cfRule>
  </conditionalFormatting>
  <conditionalFormatting sqref="M52">
    <cfRule type="expression" dxfId="18" priority="9">
      <formula>AND($G$52&gt;0,$M$52="")</formula>
    </cfRule>
  </conditionalFormatting>
  <conditionalFormatting sqref="V11:V15">
    <cfRule type="expression" dxfId="17" priority="3">
      <formula>$DF11="×"</formula>
    </cfRule>
  </conditionalFormatting>
  <conditionalFormatting sqref="V5:AJ5">
    <cfRule type="expression" dxfId="16" priority="63">
      <formula>$V$5=""</formula>
    </cfRule>
  </conditionalFormatting>
  <conditionalFormatting sqref="AA49">
    <cfRule type="expression" dxfId="15" priority="96">
      <formula>OR($AE$21&lt;&gt;$G$50,$AA$49="")</formula>
    </cfRule>
  </conditionalFormatting>
  <conditionalFormatting sqref="AA50">
    <cfRule type="expression" dxfId="14" priority="77">
      <formula>OR($AE$21&lt;&gt;$G$50,$AA$50="")</formula>
    </cfRule>
  </conditionalFormatting>
  <conditionalFormatting sqref="AA51">
    <cfRule type="expression" dxfId="13" priority="76">
      <formula>OR($AE$21&lt;&gt;$G$50,$AA$51="")</formula>
    </cfRule>
  </conditionalFormatting>
  <conditionalFormatting sqref="AE10:AJ10">
    <cfRule type="expression" dxfId="12" priority="62">
      <formula>AND($AE$10&lt;&gt;"（税込）", $AE$10&lt;&gt;"（税抜）")</formula>
    </cfRule>
  </conditionalFormatting>
  <conditionalFormatting sqref="AE11:AJ15">
    <cfRule type="expression" dxfId="11" priority="2">
      <formula>$DG11="×"</formula>
    </cfRule>
  </conditionalFormatting>
  <conditionalFormatting sqref="AE17:AJ17">
    <cfRule type="expression" dxfId="10" priority="22">
      <formula>$AM$17="×"</formula>
    </cfRule>
  </conditionalFormatting>
  <conditionalFormatting sqref="AE19:AJ19">
    <cfRule type="expression" dxfId="9" priority="21">
      <formula>$AM$19="×"</formula>
    </cfRule>
  </conditionalFormatting>
  <conditionalFormatting sqref="AE21:AJ21">
    <cfRule type="expression" dxfId="8" priority="20">
      <formula>$AM$21="×"</formula>
    </cfRule>
  </conditionalFormatting>
  <conditionalFormatting sqref="AE22:AJ22">
    <cfRule type="expression" dxfId="7" priority="18">
      <formula>$AE$22="いいえ"</formula>
    </cfRule>
  </conditionalFormatting>
  <conditionalFormatting sqref="AF50">
    <cfRule type="expression" dxfId="6" priority="75">
      <formula>AND($AA$50&gt;0,$AF$50="")</formula>
    </cfRule>
  </conditionalFormatting>
  <conditionalFormatting sqref="AF51">
    <cfRule type="expression" dxfId="5" priority="74">
      <formula>AND($AA$51&gt;0,$AF$51="")</formula>
    </cfRule>
  </conditionalFormatting>
  <conditionalFormatting sqref="AM25">
    <cfRule type="expression" dxfId="4" priority="11">
      <formula>$DD25="×"</formula>
    </cfRule>
  </conditionalFormatting>
  <conditionalFormatting sqref="AM26">
    <cfRule type="expression" dxfId="3" priority="95">
      <formula>$DD26="×"</formula>
    </cfRule>
  </conditionalFormatting>
  <conditionalFormatting sqref="AM27">
    <cfRule type="expression" dxfId="2" priority="10">
      <formula>$DD27="×"</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34:H39 G44:H44" xr:uid="{00000000-0002-0000-0000-000001000000}">
      <formula1>"□,☑"</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51:L52 AA50:AE51 G49:L49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53" xr:uid="{00000000-0002-0000-0000-000004000000}"/>
    <dataValidation type="whole" imeMode="disabled" operator="greaterThanOrEqual" allowBlank="1" showInputMessage="1" showErrorMessage="1" sqref="AA49:AE49"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19" id="{B0F73D30-B476-4753-9CDA-327AFB3B45AC}">
            <xm:f>ExpenseCategoryList!$Y$2="×"</xm:f>
            <x14:dxf>
              <fill>
                <patternFill>
                  <fgColor auto="1"/>
                  <bgColor rgb="FFFF0000"/>
                </patternFill>
              </fill>
            </x14:dxf>
          </x14:cfRule>
          <xm:sqref>G34:H39</xm:sqref>
        </x14:conditionalFormatting>
        <x14:conditionalFormatting xmlns:xm="http://schemas.microsoft.com/office/excel/2006/main">
          <x14:cfRule type="expression" priority="4" id="{2BF7CF69-1045-4B13-9266-C3132386E04F}">
            <xm:f>AND(A11="⑨設備処分費",ExpenseCategoryList!$U$2="×")</xm:f>
            <x14:dxf>
              <fill>
                <patternFill>
                  <bgColor rgb="FFFF0000"/>
                </patternFill>
              </fill>
            </x14:dxf>
          </x14:cfRule>
          <xm:sqref>AE11:AE15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ExpenseCategoryList!$B$2:$B$11</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workbookViewId="0"/>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59" customFormat="1" ht="53.1" customHeight="1" x14ac:dyDescent="0.2">
      <c r="A1" s="29" t="s">
        <v>10</v>
      </c>
      <c r="B1" s="29" t="s">
        <v>11</v>
      </c>
      <c r="C1" s="29" t="s">
        <v>122</v>
      </c>
      <c r="D1" s="29" t="s">
        <v>47</v>
      </c>
      <c r="E1" s="140" t="s">
        <v>26</v>
      </c>
      <c r="F1" s="29" t="s">
        <v>54</v>
      </c>
      <c r="G1" s="29" t="s">
        <v>48</v>
      </c>
      <c r="H1" s="57" t="s">
        <v>79</v>
      </c>
      <c r="I1" s="29" t="s">
        <v>52</v>
      </c>
      <c r="J1" s="29" t="s">
        <v>53</v>
      </c>
      <c r="K1" s="29" t="s">
        <v>45</v>
      </c>
      <c r="L1" s="29" t="s">
        <v>49</v>
      </c>
      <c r="M1" s="29" t="s">
        <v>46</v>
      </c>
      <c r="N1" s="29" t="s">
        <v>50</v>
      </c>
      <c r="O1" s="29" t="s">
        <v>51</v>
      </c>
      <c r="P1" s="29" t="s">
        <v>44</v>
      </c>
      <c r="Q1" s="29" t="s">
        <v>42</v>
      </c>
      <c r="R1" s="57" t="s">
        <v>59</v>
      </c>
      <c r="S1" s="29" t="s">
        <v>27</v>
      </c>
      <c r="T1" s="58" t="s">
        <v>183</v>
      </c>
      <c r="U1" s="29" t="s">
        <v>184</v>
      </c>
      <c r="V1" s="140" t="s">
        <v>61</v>
      </c>
      <c r="W1" s="140" t="s">
        <v>63</v>
      </c>
      <c r="X1" s="29" t="s">
        <v>62</v>
      </c>
      <c r="Y1" s="29" t="s">
        <v>64</v>
      </c>
    </row>
    <row r="2" spans="1:25" x14ac:dyDescent="0.2">
      <c r="A2" s="1">
        <v>1</v>
      </c>
      <c r="B2" s="1" t="s">
        <v>20</v>
      </c>
      <c r="C2" s="1">
        <v>1</v>
      </c>
      <c r="D2" s="1">
        <f>SUM(補助事業計画書②!AE16+補助事業計画書②!AE18)</f>
        <v>0</v>
      </c>
      <c r="E2" s="55">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1">
        <f>IF(F2&gt;E2,E2,F2)</f>
        <v>0</v>
      </c>
      <c r="H2" s="71">
        <f>G33</f>
        <v>0</v>
      </c>
      <c r="I2" s="1">
        <f>IF(補助事業計画書②!G36="☑",ROUNDDOWN(補助事業計画書②!AE16*3/4,0),ROUNDDOWN(補助事業計画書②!AE16*2/3,0))</f>
        <v>0</v>
      </c>
      <c r="J2" s="1">
        <f>H2-O2</f>
        <v>0</v>
      </c>
      <c r="K2" s="55">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55">
        <f>SUMIF(補助事業計画書②!A11:A15,"③ウェブサイト関連費",補助事業計画書②!AE11:AE15)</f>
        <v>0</v>
      </c>
      <c r="R2" s="70" t="str">
        <f>IF(補助事業計画書②!AE17="","いいえ",IF(補助事業計画書②!AE17=0,"いいえ",IF(補助事業計画書②!AE21&lt;補助事業計画書②!AE19*4,"いいえ","はい")))</f>
        <v>いいえ</v>
      </c>
      <c r="S2" s="1">
        <f>ROUNDDOWN(補助事業計画書②!AE20/2,0)</f>
        <v>0</v>
      </c>
      <c r="T2" s="1">
        <f>SUMIF(補助事業計画書②!A:A,"⑨設備処分費",補助事業計画書②!AE:AE)</f>
        <v>0</v>
      </c>
      <c r="U2" s="15" t="str">
        <f>IF(T2&lt;=S2,"○","×")</f>
        <v>○</v>
      </c>
      <c r="V2" s="139" t="str">
        <f>IF((COUNTIF(補助事業計画書②!G34,"=☑")+
     COUNTIF(補助事業計画書②!G35,"=☑")+
     COUNTIF(補助事業計画書②!G36,"=☑")+
     COUNTIF(補助事業計画書②!G37,"=☑")+
     COUNTIF(補助事業計画書②!G38,"=☑")+
     COUNTIF(補助事業計画書②!G39,"=☑")=0),"×","○")</f>
        <v>×</v>
      </c>
      <c r="W2" s="139"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15" t="str">
        <f>IF(補助事業計画書②!G36="☑",IF(補助事業計画書②!G35="☑","○","×"),"○")</f>
        <v>○</v>
      </c>
      <c r="Y2" s="15" t="str">
        <f>IF(AND(V2="○",W2="○",X2="○"),"○","×")</f>
        <v>×</v>
      </c>
    </row>
    <row r="3" spans="1:25" x14ac:dyDescent="0.2">
      <c r="A3" s="1">
        <v>2</v>
      </c>
      <c r="B3" s="1" t="s">
        <v>9</v>
      </c>
      <c r="C3" s="1">
        <v>1</v>
      </c>
      <c r="G3" t="s">
        <v>83</v>
      </c>
      <c r="I3" t="s">
        <v>84</v>
      </c>
      <c r="J3" t="s">
        <v>85</v>
      </c>
      <c r="K3" t="s">
        <v>86</v>
      </c>
      <c r="L3" t="s">
        <v>87</v>
      </c>
      <c r="M3" t="s">
        <v>88</v>
      </c>
      <c r="V3" s="69"/>
      <c r="W3" s="69"/>
      <c r="X3" s="69"/>
      <c r="Y3" s="69"/>
    </row>
    <row r="4" spans="1:25" x14ac:dyDescent="0.2">
      <c r="A4" s="1">
        <v>3</v>
      </c>
      <c r="B4" s="1" t="s">
        <v>38</v>
      </c>
      <c r="C4" s="1">
        <v>1</v>
      </c>
      <c r="U4" s="17"/>
    </row>
    <row r="5" spans="1:25" x14ac:dyDescent="0.2">
      <c r="A5" s="1">
        <v>4</v>
      </c>
      <c r="B5" s="1" t="s">
        <v>39</v>
      </c>
      <c r="C5" s="74">
        <v>1</v>
      </c>
      <c r="D5" s="75"/>
      <c r="E5" s="76"/>
      <c r="F5" s="76"/>
      <c r="G5" s="76"/>
      <c r="H5" s="76"/>
      <c r="I5" s="76"/>
      <c r="J5" s="76"/>
      <c r="K5" s="76"/>
      <c r="L5" s="76"/>
      <c r="M5" s="76"/>
      <c r="N5" s="76"/>
      <c r="O5" s="76"/>
      <c r="P5" s="76"/>
      <c r="Q5" s="77"/>
      <c r="U5" s="17"/>
    </row>
    <row r="6" spans="1:25" x14ac:dyDescent="0.2">
      <c r="A6" s="1">
        <v>5</v>
      </c>
      <c r="B6" s="1" t="s">
        <v>40</v>
      </c>
      <c r="C6" s="74">
        <v>1</v>
      </c>
      <c r="D6" s="94" t="s">
        <v>100</v>
      </c>
      <c r="E6" s="93"/>
      <c r="G6" s="79"/>
      <c r="H6" s="79"/>
      <c r="I6" s="79"/>
      <c r="J6" s="43"/>
      <c r="K6" s="43"/>
      <c r="Q6" s="80"/>
    </row>
    <row r="7" spans="1:25" x14ac:dyDescent="0.2">
      <c r="A7" s="1">
        <v>6</v>
      </c>
      <c r="B7" s="1" t="s">
        <v>171</v>
      </c>
      <c r="C7" s="74">
        <v>1</v>
      </c>
      <c r="D7" s="78"/>
      <c r="E7" s="43"/>
      <c r="F7" s="43"/>
      <c r="G7" s="79"/>
      <c r="H7" s="79"/>
      <c r="I7" s="43"/>
      <c r="J7" s="43"/>
      <c r="K7" s="43"/>
      <c r="L7" s="43" t="s">
        <v>80</v>
      </c>
      <c r="M7" s="43"/>
      <c r="N7" s="43" t="s">
        <v>80</v>
      </c>
      <c r="O7" s="43"/>
      <c r="P7" s="43"/>
      <c r="Q7" s="80"/>
    </row>
    <row r="8" spans="1:25" x14ac:dyDescent="0.2">
      <c r="A8" s="1">
        <v>7</v>
      </c>
      <c r="B8" s="1" t="s">
        <v>41</v>
      </c>
      <c r="C8" s="74">
        <v>1</v>
      </c>
      <c r="D8" s="78"/>
      <c r="E8" s="43" t="s">
        <v>68</v>
      </c>
      <c r="F8" s="44"/>
      <c r="G8" s="79" t="s">
        <v>81</v>
      </c>
      <c r="H8" s="79" t="str">
        <f>IF(補助事業計画書②!G36="☑","3/4","2/3")</f>
        <v>2/3</v>
      </c>
      <c r="I8" s="43"/>
      <c r="J8" s="43"/>
      <c r="K8" s="43"/>
      <c r="L8" s="43" t="s">
        <v>66</v>
      </c>
      <c r="M8" s="43"/>
      <c r="N8" s="43" t="s">
        <v>67</v>
      </c>
      <c r="O8" s="43"/>
      <c r="P8" s="43"/>
      <c r="Q8" s="80"/>
    </row>
    <row r="9" spans="1:25" x14ac:dyDescent="0.2">
      <c r="A9" s="1">
        <v>8</v>
      </c>
      <c r="B9" s="1" t="s">
        <v>178</v>
      </c>
      <c r="C9" s="74">
        <v>1</v>
      </c>
      <c r="D9" s="78"/>
      <c r="E9" s="43"/>
      <c r="F9" s="43"/>
      <c r="G9" s="79" t="s">
        <v>82</v>
      </c>
      <c r="H9" s="81" t="str">
        <f xml:space="preserve">  "(1)×補助率 " &amp; H8 &amp;"(※)以内(円未満切捨て)"</f>
        <v>(1)×補助率 2/3(※)以内(円未満切捨て)</v>
      </c>
      <c r="I9" s="43"/>
      <c r="J9" s="43"/>
      <c r="K9" s="43"/>
      <c r="L9" s="43"/>
      <c r="M9" s="43"/>
      <c r="N9" s="43"/>
      <c r="O9" s="43"/>
      <c r="P9" s="43"/>
      <c r="Q9" s="80"/>
    </row>
    <row r="10" spans="1:25" x14ac:dyDescent="0.2">
      <c r="A10" s="1">
        <v>9</v>
      </c>
      <c r="B10" s="1" t="s">
        <v>177</v>
      </c>
      <c r="C10" s="74">
        <v>2</v>
      </c>
      <c r="D10" s="78"/>
      <c r="E10" s="43"/>
      <c r="F10" s="43"/>
      <c r="G10" s="79" t="s">
        <v>82</v>
      </c>
      <c r="H10" s="82" t="str">
        <f>"((6)の1/4を上限(最大50万円))、(c)×補助率 " &amp; H8 &amp; " (※)以内(円未満切捨て)"</f>
        <v>((6)の1/4を上限(最大50万円))、(c)×補助率 2/3 (※)以内(円未満切捨て)</v>
      </c>
      <c r="I10" s="79"/>
      <c r="J10" s="43"/>
      <c r="K10" s="43"/>
      <c r="L10" s="43"/>
      <c r="M10" s="43"/>
      <c r="N10" s="43" t="s">
        <v>69</v>
      </c>
      <c r="O10" s="43"/>
      <c r="P10" s="43" t="s">
        <v>70</v>
      </c>
      <c r="Q10" s="80"/>
    </row>
    <row r="11" spans="1:25" ht="13.2" customHeight="1" x14ac:dyDescent="0.2">
      <c r="A11" s="1">
        <v>10</v>
      </c>
      <c r="B11" s="1" t="s">
        <v>176</v>
      </c>
      <c r="C11" s="74">
        <v>1</v>
      </c>
      <c r="D11" s="78"/>
      <c r="E11" s="264" t="s">
        <v>119</v>
      </c>
      <c r="F11" s="45" t="s">
        <v>162</v>
      </c>
      <c r="G11" s="102" t="str">
        <f>IF(補助事業計画書②!G36="☑","a*3/4","a*2/3")</f>
        <v>a*2/3</v>
      </c>
      <c r="H11" s="51" t="str">
        <f>"(" &amp; IF(補助事業計画書②!G36="☑","a*3/4","a*2/3") &amp; ") /3"</f>
        <v>(a*2/3) /3</v>
      </c>
      <c r="I11" s="46" t="s">
        <v>71</v>
      </c>
      <c r="J11" s="43"/>
      <c r="K11" s="43"/>
      <c r="L11" s="46" t="s">
        <v>72</v>
      </c>
      <c r="M11" s="43"/>
      <c r="N11" s="46" t="s">
        <v>72</v>
      </c>
      <c r="O11" s="269" t="s">
        <v>73</v>
      </c>
      <c r="P11" s="46" t="s">
        <v>72</v>
      </c>
      <c r="Q11" s="80"/>
    </row>
    <row r="12" spans="1:25" x14ac:dyDescent="0.2">
      <c r="D12" s="78">
        <v>12</v>
      </c>
      <c r="E12" s="264"/>
      <c r="F12" s="261">
        <f>K2</f>
        <v>0</v>
      </c>
      <c r="G12" s="49">
        <f>IF(補助事業計画書②!G36="☑",ROUNDDOWN(F12*3/4,0),ROUNDDOWN(F12*2/3,0))</f>
        <v>0</v>
      </c>
      <c r="H12" s="48">
        <f>ROUNDDOWN(G12/3,0)</f>
        <v>0</v>
      </c>
      <c r="I12" s="48">
        <f>G12</f>
        <v>0</v>
      </c>
      <c r="J12" s="83"/>
      <c r="K12" s="83"/>
      <c r="L12" s="48">
        <f>IF(I20&lt;=G20,I12,"")</f>
        <v>0</v>
      </c>
      <c r="M12" s="43"/>
      <c r="N12" s="48" t="str">
        <f>IF(I20&lt;=G20,"",IF(I12&gt;G20,G20,I12))</f>
        <v/>
      </c>
      <c r="O12" s="269"/>
      <c r="P12" s="48" t="str">
        <f>IF(I20&lt;=G20,"",G20-P16)</f>
        <v/>
      </c>
      <c r="Q12" s="80"/>
    </row>
    <row r="13" spans="1:25" x14ac:dyDescent="0.2">
      <c r="D13" s="78">
        <v>13</v>
      </c>
      <c r="E13" s="264"/>
      <c r="F13" s="261"/>
      <c r="G13" s="108"/>
      <c r="H13" s="106">
        <f>ROUNDDOWN(G12/3,3)</f>
        <v>0</v>
      </c>
      <c r="I13" s="48"/>
      <c r="J13" s="83"/>
      <c r="K13" s="83"/>
      <c r="L13" s="48"/>
      <c r="M13" s="43"/>
      <c r="N13" s="48"/>
      <c r="O13" s="269"/>
      <c r="P13" s="48"/>
      <c r="Q13" s="80"/>
    </row>
    <row r="14" spans="1:25" x14ac:dyDescent="0.2">
      <c r="D14" s="78">
        <v>14</v>
      </c>
      <c r="E14" s="264"/>
      <c r="F14" s="261"/>
      <c r="G14" s="108">
        <f>IF(補助事業計画書②!G36="☑",ROUNDDOWN(F12*3/4,3),ROUNDDOWN(F12*2/3,3)) - G12</f>
        <v>0</v>
      </c>
      <c r="H14" s="106">
        <f>ROUNDDOWN(G12/3,3) - H12</f>
        <v>0</v>
      </c>
      <c r="I14" s="106">
        <f>G14</f>
        <v>0</v>
      </c>
      <c r="J14" s="83"/>
      <c r="K14" s="83"/>
      <c r="L14" s="48"/>
      <c r="M14" s="43"/>
      <c r="N14" s="48"/>
      <c r="O14" s="269"/>
      <c r="P14" s="48"/>
      <c r="Q14" s="80"/>
    </row>
    <row r="15" spans="1:25" ht="28.2" customHeight="1" x14ac:dyDescent="0.2">
      <c r="D15" s="78">
        <v>15</v>
      </c>
      <c r="E15" s="262" t="s">
        <v>118</v>
      </c>
      <c r="F15" s="50" t="s">
        <v>161</v>
      </c>
      <c r="G15" s="47" t="str">
        <f>IF(補助事業計画書②!G36="☑","c*3/4","c*2/3")</f>
        <v>c*2/3</v>
      </c>
      <c r="H15" s="51" t="str">
        <f>IF(補助事業計画書②!G36="☑","a*1/4","a*2/9")</f>
        <v>a*2/9</v>
      </c>
      <c r="I15" s="146" t="s">
        <v>167</v>
      </c>
      <c r="J15" s="51" t="s">
        <v>74</v>
      </c>
      <c r="K15" s="43"/>
      <c r="L15" s="51" t="s">
        <v>75</v>
      </c>
      <c r="M15" s="43"/>
      <c r="N15" s="51" t="s">
        <v>75</v>
      </c>
      <c r="O15" s="269"/>
      <c r="P15" s="51" t="s">
        <v>75</v>
      </c>
      <c r="Q15" s="80"/>
    </row>
    <row r="16" spans="1:25" x14ac:dyDescent="0.2">
      <c r="D16" s="78">
        <v>16</v>
      </c>
      <c r="E16" s="263"/>
      <c r="F16" s="261">
        <f>Q2</f>
        <v>0</v>
      </c>
      <c r="G16" s="49">
        <f>IF(補助事業計画書②!G36="☑",ROUNDDOWN(F16*3/4,0),ROUNDDOWN(F16*2/3,0))</f>
        <v>0</v>
      </c>
      <c r="H16" s="114">
        <f>IF(補助事業計画書②!G36="☑",ROUNDDOWN(F12*1/4,0),ROUNDDOWN(F12*2/9,0))</f>
        <v>0</v>
      </c>
      <c r="I16" s="48">
        <f>IF(J16&lt;500000,J16,500000)</f>
        <v>0</v>
      </c>
      <c r="J16" s="48">
        <f>IF(IF(G16&gt;H12,H12,G16)&gt;H20,H20,IF(G16&gt;H12,H12,G16))</f>
        <v>0</v>
      </c>
      <c r="K16" s="83"/>
      <c r="L16" s="48">
        <f>IF(I20&lt;=G20,I16,"")</f>
        <v>0</v>
      </c>
      <c r="M16" t="str">
        <f>IF(L16="","",IF(L16*4&gt;L20,"×","〇"))</f>
        <v>〇</v>
      </c>
      <c r="N16" s="48" t="str">
        <f>IF(I20&lt;=G20,"",G20-N12)</f>
        <v/>
      </c>
      <c r="O16" s="269"/>
      <c r="P16" s="48" t="str">
        <f>IF(I20&lt;=G20,"",IF(ROUNDDOWN(G20/4,0)&gt;I16,I16,ROUNDDOWN(G20/4,0)))</f>
        <v/>
      </c>
      <c r="Q16" s="80"/>
    </row>
    <row r="17" spans="4:17" x14ac:dyDescent="0.2">
      <c r="D17" s="78">
        <v>17</v>
      </c>
      <c r="E17" s="263"/>
      <c r="F17" s="261"/>
      <c r="G17" s="108">
        <f>IF(補助事業計画書②!G36="☑",ROUNDDOWN(F16*3/4,3),ROUNDDOWN(F16*2/3,3))</f>
        <v>0</v>
      </c>
      <c r="H17" s="115">
        <f>IF(補助事業計画書②!G36="☑",ROUNDDOWN(F12*1/4,3),ROUNDDOWN(F12*2/9,3))</f>
        <v>0</v>
      </c>
      <c r="I17" s="106">
        <f>IF(J16&lt;500000,J17,500000)</f>
        <v>0</v>
      </c>
      <c r="J17" s="106">
        <f>IF(IF(G17&gt;H13,H13,G17)&gt;H21,H21,IF(G17&gt;H13,H13,G17))</f>
        <v>0</v>
      </c>
      <c r="K17" s="83"/>
      <c r="L17" s="48"/>
      <c r="N17" s="48"/>
      <c r="O17" s="269"/>
      <c r="P17" s="48"/>
      <c r="Q17" s="80"/>
    </row>
    <row r="18" spans="4:17" x14ac:dyDescent="0.2">
      <c r="D18" s="78">
        <v>18</v>
      </c>
      <c r="E18" s="263"/>
      <c r="F18" s="261"/>
      <c r="G18" s="108">
        <f>IF(補助事業計画書②!G36="☑",ROUNDDOWN(F16*3/4,3),ROUNDDOWN(F16*2/3,3))-G16</f>
        <v>0</v>
      </c>
      <c r="H18" s="115">
        <f>IF(補助事業計画書②!G36="☑",ROUNDDOWN(F12*1/4,3),ROUNDDOWN(F12*2/9,3)) - H16</f>
        <v>0</v>
      </c>
      <c r="I18" s="106">
        <f>IF(J16&lt;500000,J18,0)</f>
        <v>0</v>
      </c>
      <c r="J18" s="106">
        <f>IF(IF(G17&gt;H13,H13,G17)&gt;H21,H22,IF(G17&gt;H13,H14,G18))</f>
        <v>0</v>
      </c>
      <c r="K18" s="83"/>
      <c r="L18" s="48"/>
      <c r="N18" s="48"/>
      <c r="O18" s="269"/>
      <c r="P18" s="48"/>
      <c r="Q18" s="80"/>
    </row>
    <row r="19" spans="4:17" x14ac:dyDescent="0.2">
      <c r="D19" s="78">
        <v>19</v>
      </c>
      <c r="E19" s="43"/>
      <c r="F19" s="43"/>
      <c r="G19" s="103" t="s">
        <v>164</v>
      </c>
      <c r="H19" s="51" t="s">
        <v>76</v>
      </c>
      <c r="I19" s="104" t="s">
        <v>77</v>
      </c>
      <c r="J19" s="145" t="s">
        <v>78</v>
      </c>
      <c r="K19" s="43"/>
      <c r="L19" s="52" t="s">
        <v>78</v>
      </c>
      <c r="M19" s="43"/>
      <c r="N19" s="52" t="s">
        <v>78</v>
      </c>
      <c r="O19" s="269"/>
      <c r="P19" s="52" t="s">
        <v>78</v>
      </c>
      <c r="Q19" s="80"/>
    </row>
    <row r="20" spans="4:17" x14ac:dyDescent="0.2">
      <c r="D20" s="78">
        <v>20</v>
      </c>
      <c r="E20" s="43"/>
      <c r="F20" s="43"/>
      <c r="G20" s="261">
        <f>E2</f>
        <v>500000</v>
      </c>
      <c r="H20" s="53">
        <f>ROUNDDOWN(G20/4,0)</f>
        <v>125000</v>
      </c>
      <c r="I20" s="105">
        <f>I12+I16</f>
        <v>0</v>
      </c>
      <c r="J20" s="113">
        <f>IF(G20&gt;I20+J22,I20+J22,G20)</f>
        <v>0</v>
      </c>
      <c r="K20" s="54"/>
      <c r="L20" s="48">
        <f>IF(I20&lt;=G20,I20,"")</f>
        <v>0</v>
      </c>
      <c r="M20" s="43"/>
      <c r="N20" s="48" t="str">
        <f>IF(I20&lt;=G20,"",N12+N16)</f>
        <v/>
      </c>
      <c r="O20" s="269"/>
      <c r="P20" s="48" t="str">
        <f>IF(I20&lt;=G20,"",P12+P16)</f>
        <v/>
      </c>
      <c r="Q20" s="80"/>
    </row>
    <row r="21" spans="4:17" x14ac:dyDescent="0.2">
      <c r="D21" s="78">
        <v>21</v>
      </c>
      <c r="E21" s="43"/>
      <c r="F21" s="43"/>
      <c r="G21" s="261"/>
      <c r="H21" s="107">
        <f>ROUNDDOWN(G20/4,3)</f>
        <v>125000</v>
      </c>
      <c r="I21" s="132"/>
      <c r="J21" s="97"/>
      <c r="K21" s="54"/>
      <c r="L21" s="79"/>
      <c r="M21" s="43"/>
      <c r="N21" s="79"/>
      <c r="O21" s="101"/>
      <c r="P21" s="79"/>
      <c r="Q21" s="80"/>
    </row>
    <row r="22" spans="4:17" x14ac:dyDescent="0.2">
      <c r="D22" s="78">
        <v>22</v>
      </c>
      <c r="E22" s="43"/>
      <c r="F22" s="43"/>
      <c r="G22" s="261"/>
      <c r="H22" s="107">
        <f>ROUNDDOWN(G20/4,3) - H20</f>
        <v>0</v>
      </c>
      <c r="I22" s="109">
        <f>I14+I18</f>
        <v>0</v>
      </c>
      <c r="J22" s="144">
        <f>IF(I20&lt;G20,IF(I22&gt;=1,1,0),0)</f>
        <v>0</v>
      </c>
      <c r="K22" s="54" t="s">
        <v>120</v>
      </c>
      <c r="L22" s="79"/>
      <c r="M22" s="43"/>
      <c r="N22" s="79"/>
      <c r="O22" s="101"/>
      <c r="P22" s="79"/>
      <c r="Q22" s="80"/>
    </row>
    <row r="23" spans="4:17" x14ac:dyDescent="0.2">
      <c r="D23" s="78">
        <v>23</v>
      </c>
      <c r="E23" s="85"/>
      <c r="F23" s="85"/>
      <c r="G23" s="86"/>
      <c r="H23" s="86"/>
      <c r="I23" s="86"/>
      <c r="J23" s="85"/>
      <c r="K23" s="85"/>
      <c r="L23" s="85"/>
      <c r="M23" s="85"/>
      <c r="N23" s="85"/>
      <c r="O23" s="85"/>
      <c r="P23" s="85"/>
      <c r="Q23" s="87"/>
    </row>
    <row r="24" spans="4:17" x14ac:dyDescent="0.2">
      <c r="D24" s="75"/>
      <c r="E24" s="88"/>
      <c r="F24" s="88"/>
      <c r="G24" s="89"/>
      <c r="H24" s="89"/>
      <c r="I24" s="89"/>
      <c r="J24" s="88"/>
      <c r="K24" s="90"/>
      <c r="L24" s="43"/>
      <c r="M24" s="43"/>
      <c r="N24" s="43"/>
      <c r="O24" s="43"/>
      <c r="P24" s="43"/>
    </row>
    <row r="25" spans="4:17" x14ac:dyDescent="0.2">
      <c r="D25" s="94" t="s">
        <v>101</v>
      </c>
      <c r="F25" s="43"/>
      <c r="G25" s="43"/>
      <c r="H25" s="79"/>
      <c r="I25" s="79"/>
      <c r="J25" s="79"/>
      <c r="K25" s="95"/>
      <c r="L25" s="43"/>
      <c r="M25" s="43"/>
      <c r="N25" s="43"/>
      <c r="O25" s="43"/>
      <c r="P25" s="43"/>
      <c r="Q25" s="43"/>
    </row>
    <row r="26" spans="4:17" x14ac:dyDescent="0.2">
      <c r="D26" s="94"/>
      <c r="F26" s="43"/>
      <c r="G26" s="43"/>
      <c r="H26" s="79"/>
      <c r="I26" s="79"/>
      <c r="J26" s="79"/>
      <c r="K26" s="95"/>
      <c r="L26" s="43"/>
      <c r="M26" s="43"/>
      <c r="N26" s="43"/>
      <c r="O26" s="43"/>
      <c r="P26" s="43"/>
      <c r="Q26" s="43"/>
    </row>
    <row r="27" spans="4:17" x14ac:dyDescent="0.2">
      <c r="D27" s="78"/>
      <c r="E27" s="36" t="s">
        <v>60</v>
      </c>
      <c r="F27" s="43"/>
      <c r="G27" s="43" t="s">
        <v>69</v>
      </c>
      <c r="H27" s="43"/>
      <c r="I27" s="43" t="s">
        <v>70</v>
      </c>
      <c r="J27" s="79"/>
      <c r="K27" s="95"/>
      <c r="L27" s="43"/>
      <c r="M27" s="43"/>
      <c r="N27" s="43"/>
      <c r="O27" s="43"/>
      <c r="P27" s="43"/>
      <c r="Q27" s="43"/>
    </row>
    <row r="28" spans="4:17" x14ac:dyDescent="0.2">
      <c r="D28" s="78"/>
      <c r="E28" s="46" t="s">
        <v>72</v>
      </c>
      <c r="F28" s="43"/>
      <c r="G28" s="46" t="s">
        <v>72</v>
      </c>
      <c r="H28" s="269" t="s">
        <v>73</v>
      </c>
      <c r="I28" s="46" t="s">
        <v>72</v>
      </c>
      <c r="J28" s="79"/>
      <c r="K28" s="95"/>
      <c r="L28" s="43"/>
      <c r="M28" s="43"/>
      <c r="N28" s="43"/>
      <c r="O28" s="43"/>
      <c r="P28" s="43"/>
      <c r="Q28" s="43"/>
    </row>
    <row r="29" spans="4:17" ht="16.2" x14ac:dyDescent="0.2">
      <c r="D29" s="78">
        <v>29</v>
      </c>
      <c r="E29" s="56" t="str">
        <f>IF(補助事業計画書②!AE17=0,"×",IF(補助事業計画書②!AE17&lt;I29,"×",IF(補助事業計画書②!AE17&gt;G29,"×","〇")))</f>
        <v>×</v>
      </c>
      <c r="F29">
        <v>29</v>
      </c>
      <c r="G29" s="48">
        <f>IF(I20&lt;=G20,I12,IF(I12&gt;G20,G20,I12))</f>
        <v>0</v>
      </c>
      <c r="H29" s="269"/>
      <c r="I29" s="48">
        <f>IF(I20&lt;=G20,I12,G20-P16)</f>
        <v>0</v>
      </c>
      <c r="J29" s="79"/>
      <c r="K29" s="95"/>
      <c r="L29" s="43"/>
      <c r="M29" s="43"/>
      <c r="N29" s="43"/>
      <c r="O29" s="43"/>
      <c r="P29" s="43"/>
      <c r="Q29" s="43"/>
    </row>
    <row r="30" spans="4:17" x14ac:dyDescent="0.2">
      <c r="D30" s="78"/>
      <c r="E30" s="51" t="s">
        <v>75</v>
      </c>
      <c r="G30" s="51" t="s">
        <v>75</v>
      </c>
      <c r="H30" s="269"/>
      <c r="I30" s="51" t="s">
        <v>75</v>
      </c>
      <c r="K30" s="80"/>
    </row>
    <row r="31" spans="4:17" ht="16.2" x14ac:dyDescent="0.2">
      <c r="D31" s="78">
        <v>30</v>
      </c>
      <c r="E31" s="56" t="str">
        <f>IF(補助事業計画書②!AE19&gt;I31,"×",IF(補助事業計画書②!AE19&lt;G31,"×","〇"))</f>
        <v>〇</v>
      </c>
      <c r="F31">
        <v>30</v>
      </c>
      <c r="G31" s="48">
        <f>IF(I20&lt;=G20,I16,G20-N12)</f>
        <v>0</v>
      </c>
      <c r="H31" s="269"/>
      <c r="I31" s="48">
        <f>IF(I20&lt;=G20,I16,IF(ROUNDDOWN(G20/4,0)&gt;I16,I16,ROUNDDOWN(G20/4,0)))</f>
        <v>0</v>
      </c>
      <c r="K31" s="80"/>
    </row>
    <row r="32" spans="4:17" x14ac:dyDescent="0.2">
      <c r="D32" s="78"/>
      <c r="E32" s="52" t="s">
        <v>78</v>
      </c>
      <c r="G32" s="52" t="s">
        <v>78</v>
      </c>
      <c r="H32" s="269"/>
      <c r="I32" s="52" t="s">
        <v>78</v>
      </c>
      <c r="K32" s="80"/>
    </row>
    <row r="33" spans="4:11" ht="16.2" x14ac:dyDescent="0.2">
      <c r="D33" s="78">
        <v>33</v>
      </c>
      <c r="E33" s="56" t="s">
        <v>127</v>
      </c>
      <c r="F33">
        <v>33</v>
      </c>
      <c r="G33" s="48">
        <f>IF(I20&lt;=G20,I20,N12+N16)</f>
        <v>0</v>
      </c>
      <c r="H33" s="269"/>
      <c r="I33" s="48">
        <f>IF(I20&lt;=G20,I20,I29+I31)</f>
        <v>0</v>
      </c>
      <c r="K33" s="80"/>
    </row>
    <row r="34" spans="4:11" ht="16.2" x14ac:dyDescent="0.2">
      <c r="D34" s="91" t="s">
        <v>59</v>
      </c>
      <c r="E34" s="56" t="str">
        <f>IF(補助事業計画書②!AE17="","×",IF(補助事業計画書②!AE17=0,"×",IF(補助事業計画書②!AE21&lt;補助事業計画書②!AE19*4,"×","〇")))</f>
        <v>×</v>
      </c>
      <c r="K34" s="80"/>
    </row>
    <row r="35" spans="4:11" x14ac:dyDescent="0.2">
      <c r="D35" s="78"/>
      <c r="K35" s="80"/>
    </row>
    <row r="36" spans="4:11" x14ac:dyDescent="0.2">
      <c r="D36" s="78"/>
      <c r="G36" s="1" t="s">
        <v>89</v>
      </c>
      <c r="H36" s="1"/>
      <c r="I36" s="267" t="s">
        <v>96</v>
      </c>
      <c r="J36" s="268"/>
      <c r="K36" s="80"/>
    </row>
    <row r="37" spans="4:11" ht="13.5" customHeight="1" x14ac:dyDescent="0.2">
      <c r="D37" s="142" t="s">
        <v>103</v>
      </c>
      <c r="E37" s="141" t="str">
        <f>IF(OR(補助事業計画書②!G35="☑",
       補助事業計画書②!G36="☑",
       補助事業計画書②!G37="☑",
       補助事業計画書②!G38="☑",
       補助事業計画書②!G39="☑"),
       IF(補助事業計画書②!G44="☑","250万","200万"),
       IF(補助事業計画書②!G44="☑","100万","50万")
   )</f>
        <v>50万</v>
      </c>
      <c r="F37" s="98" t="s">
        <v>136</v>
      </c>
      <c r="G37" s="1" t="s">
        <v>90</v>
      </c>
      <c r="H37" s="72">
        <f>K2</f>
        <v>0</v>
      </c>
      <c r="I37" s="265" t="s">
        <v>97</v>
      </c>
      <c r="J37" s="266"/>
      <c r="K37" s="80"/>
    </row>
    <row r="38" spans="4:11" x14ac:dyDescent="0.2">
      <c r="D38" s="78" t="s">
        <v>141</v>
      </c>
      <c r="E38" s="111" t="str">
        <f>IF(V2="×","",DBCS(E37) &amp; "円")</f>
        <v/>
      </c>
      <c r="F38" s="98" t="s">
        <v>137</v>
      </c>
      <c r="G38" s="1" t="s">
        <v>91</v>
      </c>
      <c r="H38" s="48">
        <f>補助事業計画書②!$AE$17</f>
        <v>0</v>
      </c>
      <c r="I38" s="96">
        <f>IF(AND(H37=0,H38=0),0,IF(OR(H37=0,H37=""),"",ROUNDDOWN(H38*100/H37,2)))</f>
        <v>0</v>
      </c>
      <c r="J38" s="1" t="str">
        <f>IF(補助事業計画書②!AE17="","",IF(I38="","",TEXT(I38,"##0.00")&amp;"%"))</f>
        <v/>
      </c>
      <c r="K38" s="80"/>
    </row>
    <row r="39" spans="4:11" x14ac:dyDescent="0.2">
      <c r="D39" s="78" t="s">
        <v>142</v>
      </c>
      <c r="E39" s="79" t="str">
        <f>H8</f>
        <v>2/3</v>
      </c>
      <c r="F39" s="98" t="s">
        <v>121</v>
      </c>
      <c r="G39" s="1" t="s">
        <v>93</v>
      </c>
      <c r="H39" s="72">
        <f>Q2</f>
        <v>0</v>
      </c>
      <c r="I39" s="265" t="s">
        <v>98</v>
      </c>
      <c r="J39" s="266"/>
      <c r="K39" s="80"/>
    </row>
    <row r="40" spans="4:11" x14ac:dyDescent="0.2">
      <c r="D40" s="78" t="s">
        <v>141</v>
      </c>
      <c r="E40" s="111" t="str">
        <f>IF(V2="×","",DBCS(E39) )</f>
        <v/>
      </c>
      <c r="F40" s="98" t="s">
        <v>138</v>
      </c>
      <c r="G40" s="1" t="s">
        <v>92</v>
      </c>
      <c r="H40" s="97">
        <f>H42-H38</f>
        <v>0</v>
      </c>
      <c r="I40" s="96" t="str">
        <f>IF(H41=0,"",IF(AND(H39=0,H40=0),0,IF(OR(H39=0,H39=""),"",ROUNDDOWN(H40*100/H39,2))))</f>
        <v/>
      </c>
      <c r="J40" s="1" t="str">
        <f>IF(補助事業計画書②!AE17="","",IF(I40="","",TEXT(I40,"##0.00")&amp;"%"))</f>
        <v/>
      </c>
      <c r="K40" s="80"/>
    </row>
    <row r="41" spans="4:11" x14ac:dyDescent="0.2">
      <c r="D41" s="78"/>
      <c r="F41" s="98" t="s">
        <v>139</v>
      </c>
      <c r="G41" s="73" t="s">
        <v>94</v>
      </c>
      <c r="H41" s="72">
        <f>D2</f>
        <v>0</v>
      </c>
      <c r="I41" s="265" t="s">
        <v>99</v>
      </c>
      <c r="J41" s="266"/>
      <c r="K41" s="80"/>
    </row>
    <row r="42" spans="4:11" x14ac:dyDescent="0.2">
      <c r="D42" s="78"/>
      <c r="F42" s="98" t="s">
        <v>140</v>
      </c>
      <c r="G42" s="1" t="s">
        <v>95</v>
      </c>
      <c r="H42" s="72">
        <f>H2</f>
        <v>0</v>
      </c>
      <c r="I42" s="96" t="str">
        <f>IF(H41=0,"",IF(H40=0,0,IF(OR(H42=0,H42="",H39=0,H39=""),"",ROUNDDOWN(H40*100/H42,2))))</f>
        <v/>
      </c>
      <c r="J42" s="1" t="str">
        <f>IF(補助事業計画書②!AE17="","",IF(I42="","",TEXT(I42,"##0.00") &amp; "%"))</f>
        <v/>
      </c>
      <c r="K42" s="80"/>
    </row>
    <row r="43" spans="4:11" x14ac:dyDescent="0.2">
      <c r="D43" s="84"/>
      <c r="E43" s="92"/>
      <c r="F43" s="92"/>
      <c r="G43" s="92"/>
      <c r="H43" s="92"/>
      <c r="I43" s="92"/>
      <c r="J43" s="92"/>
      <c r="K43" s="87"/>
    </row>
    <row r="44" spans="4:11" x14ac:dyDescent="0.2">
      <c r="D44" s="75"/>
      <c r="E44" s="76"/>
      <c r="F44" s="76"/>
      <c r="G44" s="76"/>
      <c r="H44" s="76"/>
      <c r="I44" s="76"/>
      <c r="J44" s="76"/>
      <c r="K44" s="77"/>
    </row>
    <row r="45" spans="4:11" x14ac:dyDescent="0.2">
      <c r="D45" s="94" t="s">
        <v>125</v>
      </c>
      <c r="K45" s="80"/>
    </row>
    <row r="46" spans="4:11" x14ac:dyDescent="0.2">
      <c r="D46" s="112" t="s">
        <v>126</v>
      </c>
      <c r="E46" s="111" t="str">
        <f>IF(J22=0,"","※")</f>
        <v/>
      </c>
      <c r="K46" s="80"/>
    </row>
    <row r="47" spans="4:11" x14ac:dyDescent="0.2">
      <c r="D47" s="94"/>
      <c r="K47" s="80"/>
    </row>
    <row r="48" spans="4:11" x14ac:dyDescent="0.2">
      <c r="D48" s="78" t="s">
        <v>123</v>
      </c>
      <c r="E48" s="111" t="str">
        <f>IF(F16=0,"",IF(F12=0,"ウェブサイト関連費のみでの申請はできません",""))</f>
        <v/>
      </c>
      <c r="K48" s="80"/>
    </row>
    <row r="49" spans="4:11" x14ac:dyDescent="0.2">
      <c r="D49" s="78" t="s">
        <v>124</v>
      </c>
      <c r="E49" s="111" t="str">
        <f>IF(U2="○","","設備処分費が、(5)補助対象経費合計の1/2を超えています")</f>
        <v/>
      </c>
      <c r="K49" s="80"/>
    </row>
    <row r="50" spans="4:11" x14ac:dyDescent="0.2">
      <c r="D50" s="78"/>
      <c r="K50" s="80"/>
    </row>
    <row r="51" spans="4:11" x14ac:dyDescent="0.2">
      <c r="D51" s="78"/>
      <c r="K51" s="80"/>
    </row>
    <row r="52" spans="4:11" x14ac:dyDescent="0.2">
      <c r="D52" s="78"/>
      <c r="K52" s="80"/>
    </row>
    <row r="53" spans="4:11" x14ac:dyDescent="0.2">
      <c r="D53" s="78"/>
      <c r="K53" s="80"/>
    </row>
    <row r="54" spans="4:11" x14ac:dyDescent="0.2">
      <c r="D54" s="78"/>
      <c r="K54" s="80"/>
    </row>
    <row r="55" spans="4:11" x14ac:dyDescent="0.2">
      <c r="D55" s="122"/>
      <c r="E55" s="123"/>
      <c r="F55" s="123"/>
      <c r="G55" s="123"/>
      <c r="H55" s="123"/>
      <c r="I55" s="123"/>
      <c r="J55" s="123"/>
      <c r="K55" s="124"/>
    </row>
    <row r="56" spans="4:11" x14ac:dyDescent="0.2">
      <c r="D56" s="125" t="s">
        <v>130</v>
      </c>
      <c r="E56" s="121"/>
      <c r="F56" s="121"/>
      <c r="G56" s="121"/>
      <c r="H56" s="121"/>
      <c r="I56" s="121"/>
      <c r="J56" s="121"/>
      <c r="K56" s="126"/>
    </row>
    <row r="57" spans="4:11" x14ac:dyDescent="0.2">
      <c r="D57" s="131" t="str">
        <f>IF(補助事業計画書②!G53=補助事業計画書②!AE20,"〇","×")</f>
        <v>〇</v>
      </c>
      <c r="E57" s="121"/>
      <c r="F57" s="121"/>
      <c r="G57" s="121"/>
      <c r="H57" s="121"/>
      <c r="I57" s="121"/>
      <c r="J57" s="121"/>
      <c r="K57" s="126"/>
    </row>
    <row r="58" spans="4:11" x14ac:dyDescent="0.2">
      <c r="D58" s="127"/>
      <c r="E58" s="121"/>
      <c r="F58" s="121"/>
      <c r="G58" s="121"/>
      <c r="H58" s="121"/>
      <c r="I58" s="121"/>
      <c r="J58" s="121"/>
      <c r="K58" s="126"/>
    </row>
    <row r="59" spans="4:11" x14ac:dyDescent="0.2">
      <c r="D59" s="127"/>
      <c r="E59" s="121"/>
      <c r="F59" s="121"/>
      <c r="G59" s="121"/>
      <c r="H59" s="121"/>
      <c r="I59" s="121"/>
      <c r="J59" s="121"/>
      <c r="K59" s="126"/>
    </row>
    <row r="60" spans="4:11" x14ac:dyDescent="0.2">
      <c r="D60" s="128"/>
      <c r="E60" s="129"/>
      <c r="F60" s="129"/>
      <c r="G60" s="129"/>
      <c r="H60" s="129"/>
      <c r="I60" s="129"/>
      <c r="J60" s="129"/>
      <c r="K60" s="130"/>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A19378C-7740-4896-A387-D6C60868199D}">
  <ds:schemaRefs>
    <ds:schemaRef ds:uri="http://purl.org/dc/dcmitype/"/>
    <ds:schemaRef ds:uri="http://schemas.microsoft.com/office/2006/documentManagement/types"/>
    <ds:schemaRef ds:uri="http://schemas.openxmlformats.org/package/2006/metadata/core-properties"/>
    <ds:schemaRef ds:uri="e9a2f1ec-d622-4400-872a-35e0370e4027"/>
    <ds:schemaRef ds:uri="http://purl.org/dc/elements/1.1/"/>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櫻井 正純</cp:lastModifiedBy>
  <cp:lastPrinted>2023-10-31T07:38:02Z</cp:lastPrinted>
  <dcterms:created xsi:type="dcterms:W3CDTF">2020-03-24T00:10:15Z</dcterms:created>
  <dcterms:modified xsi:type="dcterms:W3CDTF">2024-01-16T06:45:43Z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